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orsakaiteDiana\OneDrive - Tetra Tech, Inc\Desktop\ESCOUA\Final 2021-10-29\"/>
    </mc:Choice>
  </mc:AlternateContent>
  <xr:revisionPtr revIDLastSave="0" documentId="8_{0F16B1A2-68F5-476A-86E8-ACF96E5F8C4E}" xr6:coauthVersionLast="47" xr6:coauthVersionMax="47" xr10:uidLastSave="{00000000-0000-0000-0000-000000000000}"/>
  <bookViews>
    <workbookView xWindow="-110" yWindow="-110" windowWidth="19420" windowHeight="10420" tabRatio="722" firstSheet="3" activeTab="11" xr2:uid="{00000000-000D-0000-FFFF-FFFF00000000}"/>
  </bookViews>
  <sheets>
    <sheet name="газ – тверде паливо" sheetId="2" r:id="rId1"/>
    <sheet name="газ – газ" sheetId="1" r:id="rId2"/>
    <sheet name="зменшення потужності" sheetId="3" r:id="rId3"/>
    <sheet name="теплоутилізатор" sheetId="4" r:id="rId4"/>
    <sheet name="когенерація" sheetId="6" r:id="rId5"/>
    <sheet name="попередньо ізольовані труби" sheetId="7" r:id="rId6"/>
    <sheet name="теплоізоляція існуючих" sheetId="8" r:id="rId7"/>
    <sheet name="ЧРП" sheetId="9" r:id="rId8"/>
    <sheet name="Заміна насосу" sheetId="11" r:id="rId9"/>
    <sheet name="Погодне регулювання" sheetId="14" r:id="rId10"/>
    <sheet name="Тепловий насос" sheetId="12" r:id="rId11"/>
    <sheet name="теплоакумулятор" sheetId="13" r:id="rId12"/>
    <sheet name="Лист5" sheetId="5" state="hidden" r:id="rId13"/>
  </sheets>
  <definedNames>
    <definedName name="_xlnm.Print_Area" localSheetId="1">'газ – газ'!$A$1:$E$15</definedName>
    <definedName name="_xlnm.Print_Area" localSheetId="0">'газ – тверде паливо'!$A$1:$E$21</definedName>
    <definedName name="_xlnm.Print_Area" localSheetId="8">'Заміна насосу'!$A$1:$E$14</definedName>
    <definedName name="_xlnm.Print_Area" localSheetId="2">'зменшення потужності'!$A$1:$E$20</definedName>
    <definedName name="_xlnm.Print_Area" localSheetId="4">когенерація!$A$1:$E$32</definedName>
    <definedName name="_xlnm.Print_Area" localSheetId="9">'Погодне регулювання'!$A$1:$L$23</definedName>
    <definedName name="_xlnm.Print_Area" localSheetId="5">'попередньо ізольовані труби'!$A$1:$E$28</definedName>
    <definedName name="_xlnm.Print_Area" localSheetId="11">теплоакумулятор!$A$1:$E$20</definedName>
    <definedName name="_xlnm.Print_Area" localSheetId="10">'Тепловий насос'!$A$1:$E$16</definedName>
    <definedName name="_xlnm.Print_Area" localSheetId="6">'теплоізоляція існуючих'!$A$1:$E$34</definedName>
    <definedName name="_xlnm.Print_Area" localSheetId="3">теплоутилізатор!$A$1:$E$24</definedName>
    <definedName name="_xlnm.Print_Area" localSheetId="7">ЧРП!$A$1:$E$18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9" l="1"/>
  <c r="C21" i="14" l="1"/>
  <c r="C18" i="14"/>
  <c r="F15" i="14"/>
  <c r="G15" i="14" s="1"/>
  <c r="F14" i="14"/>
  <c r="G14" i="14" s="1"/>
  <c r="F13" i="14"/>
  <c r="G13" i="14" s="1"/>
  <c r="F12" i="14"/>
  <c r="G12" i="14" s="1"/>
  <c r="F11" i="14"/>
  <c r="G11" i="14" s="1"/>
  <c r="H14" i="14" l="1"/>
  <c r="I14" i="14" s="1"/>
  <c r="H11" i="14"/>
  <c r="I11" i="14" s="1"/>
  <c r="H13" i="14"/>
  <c r="I13" i="14" s="1"/>
  <c r="H15" i="14"/>
  <c r="I15" i="14" s="1"/>
  <c r="H12" i="14"/>
  <c r="I12" i="14" s="1"/>
  <c r="C19" i="14" l="1"/>
  <c r="C20" i="14" s="1"/>
  <c r="C22" i="14" s="1"/>
  <c r="C17" i="13" l="1"/>
  <c r="C16" i="13"/>
  <c r="C15" i="13"/>
  <c r="C18" i="13" l="1"/>
  <c r="C19" i="13" s="1"/>
  <c r="C12" i="1" l="1"/>
  <c r="C9" i="12" l="1"/>
  <c r="C10" i="12" s="1"/>
  <c r="C13" i="12" s="1"/>
  <c r="C14" i="12" s="1"/>
  <c r="C15" i="12" s="1"/>
  <c r="C11" i="11"/>
  <c r="C12" i="11" l="1"/>
  <c r="C13" i="11" l="1"/>
  <c r="C13" i="9"/>
  <c r="C15" i="9" l="1"/>
  <c r="C16" i="9" s="1"/>
  <c r="C17" i="9" s="1"/>
  <c r="C13" i="3"/>
  <c r="C14" i="3" s="1"/>
  <c r="C15" i="3" s="1"/>
  <c r="C21" i="8"/>
  <c r="C22" i="8" s="1"/>
  <c r="C23" i="7"/>
  <c r="C24" i="7" s="1"/>
  <c r="C25" i="7" s="1"/>
  <c r="C18" i="7"/>
  <c r="C19" i="7"/>
  <c r="C25" i="8" l="1"/>
  <c r="C24" i="8"/>
  <c r="C20" i="7"/>
  <c r="C21" i="7" s="1"/>
  <c r="C22" i="7" s="1"/>
  <c r="C26" i="7" s="1"/>
  <c r="C27" i="7" s="1"/>
  <c r="C23" i="8"/>
  <c r="C18" i="6"/>
  <c r="C19" i="6" s="1"/>
  <c r="C20" i="6" s="1"/>
  <c r="C18" i="4"/>
  <c r="C19" i="4" s="1"/>
  <c r="C16" i="4"/>
  <c r="C17" i="4" s="1"/>
  <c r="C15" i="4"/>
  <c r="C16" i="3"/>
  <c r="C17" i="3" s="1"/>
  <c r="C18" i="3" s="1"/>
  <c r="C16" i="2"/>
  <c r="C17" i="2" s="1"/>
  <c r="C13" i="1"/>
  <c r="C14" i="1" s="1"/>
  <c r="C20" i="4" l="1"/>
  <c r="C22" i="4" s="1"/>
  <c r="C21" i="4"/>
  <c r="C23" i="4" s="1"/>
  <c r="C21" i="6"/>
  <c r="C22" i="6" s="1"/>
  <c r="C28" i="6" s="1"/>
  <c r="C29" i="6" s="1"/>
  <c r="C19" i="2"/>
  <c r="C20" i="2" s="1"/>
  <c r="C26" i="8"/>
  <c r="C27" i="8" s="1"/>
  <c r="C28" i="8" s="1"/>
  <c r="C29" i="8" s="1"/>
  <c r="C30" i="8" s="1"/>
  <c r="C19" i="3"/>
  <c r="C18" i="2"/>
  <c r="C23" i="6" l="1"/>
  <c r="C30" i="6" s="1"/>
  <c r="C32" i="8"/>
  <c r="C33" i="8" s="1"/>
  <c r="C24" i="6"/>
  <c r="C25" i="6" s="1"/>
  <c r="C26" i="6" l="1"/>
  <c r="C27" i="6" s="1"/>
  <c r="C31" i="6" s="1"/>
</calcChain>
</file>

<file path=xl/sharedStrings.xml><?xml version="1.0" encoding="utf-8"?>
<sst xmlns="http://schemas.openxmlformats.org/spreadsheetml/2006/main" count="404" uniqueCount="318">
  <si>
    <t>Заміна газового котла на газовий</t>
  </si>
  <si>
    <t>ΔВ</t>
  </si>
  <si>
    <t>Е</t>
  </si>
  <si>
    <t>– коефіцієнт корисної дії нового котла, частка одиниці;</t>
  </si>
  <si>
    <t>– коефіцієнт корисної дії старого котла (середній за опалювальний період), частка одиниці;</t>
  </si>
  <si>
    <t>– годинна витрата палива у новому котлі, м³/год;</t>
  </si>
  <si>
    <t>– годинна витрата палива у старому котлі, м³/год;</t>
  </si>
  <si>
    <t>– ціна палива, грн/м³;</t>
  </si>
  <si>
    <t>– число годин роботи за рік, год;</t>
  </si>
  <si>
    <t>Заміна газового котла на твердопаливний</t>
  </si>
  <si>
    <t>η₁</t>
  </si>
  <si>
    <t>В₁</t>
  </si>
  <si>
    <t>η₂</t>
  </si>
  <si>
    <t>В₂</t>
  </si>
  <si>
    <r>
      <t>Т</t>
    </r>
    <r>
      <rPr>
        <vertAlign val="subscript"/>
        <sz val="12"/>
        <color theme="1"/>
        <rFont val="Calibri"/>
        <family val="2"/>
        <charset val="204"/>
        <scheme val="minor"/>
      </rPr>
      <t>Р</t>
    </r>
  </si>
  <si>
    <r>
      <t>Ц</t>
    </r>
    <r>
      <rPr>
        <vertAlign val="subscript"/>
        <sz val="12"/>
        <color theme="1"/>
        <rFont val="Calibri"/>
        <family val="2"/>
        <charset val="204"/>
        <scheme val="minor"/>
      </rPr>
      <t>ПАЛ</t>
    </r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</si>
  <si>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ном</t>
    </r>
  </si>
  <si>
    <r>
      <t>Т</t>
    </r>
    <r>
      <rPr>
        <vertAlign val="subscript"/>
        <sz val="12"/>
        <color theme="1"/>
        <rFont val="Calibri"/>
        <family val="2"/>
        <charset val="204"/>
        <scheme val="minor"/>
      </rPr>
      <t>р</t>
    </r>
  </si>
  <si>
    <t>– коефіцієнт корисної дії газового котла, середній за опалювальний період, частка одиниці;</t>
  </si>
  <si>
    <t>– кількість теплоти, що відпускається споживачу котельним агрегатом, МДж/год;</t>
  </si>
  <si>
    <t>n</t>
  </si>
  <si>
    <t>– кількість теплоти, яку повинен виробляти твердопаливний котел з ККД 86%, МДж/год;</t>
  </si>
  <si>
    <t>– номінальна теплопродуктивність твердопаливного котла, кВт;</t>
  </si>
  <si>
    <t>– кількість котельних агрегатів;</t>
  </si>
  <si>
    <t>– коефіцієнт корисної дії твердопаливного котла, частка одиниці;</t>
  </si>
  <si>
    <t>– число годин роботи котла за рік, год/рік;</t>
  </si>
  <si>
    <t>– ціна твердого палива, грн/т;</t>
  </si>
  <si>
    <t>– очікувана витрата твердого палива, кг/год;</t>
  </si>
  <si>
    <t>Зменшення потужності котельні</t>
  </si>
  <si>
    <t>– ККД існуючого котельного агрегату, визначається по даним режимних карт для фактичного навантаження, частка одиниці;</t>
  </si>
  <si>
    <t>– очікуваний ККД нового котельного агрегату, надається виробником, частка одиниці;</t>
  </si>
  <si>
    <r>
      <t>η</t>
    </r>
    <r>
      <rPr>
        <vertAlign val="subscript"/>
        <sz val="12"/>
        <color theme="1"/>
        <rFont val="Calibri"/>
        <family val="2"/>
        <charset val="204"/>
      </rPr>
      <t>кі</t>
    </r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</si>
  <si>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ф</t>
    </r>
  </si>
  <si>
    <r>
      <t>η</t>
    </r>
    <r>
      <rPr>
        <vertAlign val="subscript"/>
        <sz val="12"/>
        <color theme="1"/>
        <rFont val="Calibri"/>
        <family val="2"/>
        <charset val="204"/>
      </rPr>
      <t>кн</t>
    </r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</si>
  <si>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н</t>
    </r>
    <r>
      <rPr>
        <vertAlign val="superscript"/>
        <sz val="12"/>
        <color theme="1"/>
        <rFont val="Calibri"/>
        <family val="2"/>
        <charset val="204"/>
        <scheme val="minor"/>
      </rPr>
      <t>р</t>
    </r>
  </si>
  <si>
    <r>
      <t>Ц</t>
    </r>
    <r>
      <rPr>
        <sz val="12"/>
        <color theme="1"/>
        <rFont val="Calibri"/>
        <family val="2"/>
        <charset val="204"/>
      </rPr>
      <t>₁</t>
    </r>
  </si>
  <si>
    <r>
      <t>– нижча теплота згоряння реального палива, МДж/м</t>
    </r>
    <r>
      <rPr>
        <sz val="12"/>
        <color theme="1"/>
        <rFont val="Calibri"/>
        <family val="2"/>
        <charset val="204"/>
      </rPr>
      <t>³ або МДж/кг;</t>
    </r>
  </si>
  <si>
    <r>
      <t>В</t>
    </r>
    <r>
      <rPr>
        <vertAlign val="subscript"/>
        <sz val="12"/>
        <color theme="1"/>
        <rFont val="Calibri"/>
        <family val="2"/>
        <charset val="204"/>
        <scheme val="minor"/>
      </rPr>
      <t>уп і</t>
    </r>
  </si>
  <si>
    <t>– витрата умовного палива, необхідна для виробництва теплової енергії на існуючому котлі великої потужності, кг у.п./год;</t>
  </si>
  <si>
    <t>– питома витрата умовного палива на існуючому котельному агрегаті великої потужності, кг у.п./МДж;</t>
  </si>
  <si>
    <r>
      <t>В</t>
    </r>
    <r>
      <rPr>
        <vertAlign val="subscript"/>
        <sz val="12"/>
        <color theme="1"/>
        <rFont val="Calibri"/>
        <family val="2"/>
        <charset val="204"/>
        <scheme val="minor"/>
      </rPr>
      <t>і</t>
    </r>
  </si>
  <si>
    <r>
      <t>b</t>
    </r>
    <r>
      <rPr>
        <vertAlign val="subscript"/>
        <sz val="12"/>
        <color theme="1"/>
        <rFont val="Calibri"/>
        <family val="2"/>
        <charset val="204"/>
        <scheme val="minor"/>
      </rPr>
      <t>уп н</t>
    </r>
  </si>
  <si>
    <t>– питома витрата умовного палива на новому котельному агрегаті меншої потужності, кг у.п./МДж;</t>
  </si>
  <si>
    <r>
      <t>В</t>
    </r>
    <r>
      <rPr>
        <vertAlign val="subscript"/>
        <sz val="12"/>
        <color theme="1"/>
        <rFont val="Calibri"/>
        <family val="2"/>
        <charset val="204"/>
        <scheme val="minor"/>
      </rPr>
      <t>уп н</t>
    </r>
  </si>
  <si>
    <t>– витрата умовного палива, необхідна для виробництва теплової енергії на новому котлі, кг у.п./год;</t>
  </si>
  <si>
    <r>
      <t>В</t>
    </r>
    <r>
      <rPr>
        <vertAlign val="subscript"/>
        <sz val="12"/>
        <color theme="1"/>
        <rFont val="Calibri"/>
        <family val="2"/>
        <charset val="204"/>
        <scheme val="minor"/>
      </rPr>
      <t>н</t>
    </r>
  </si>
  <si>
    <t>– фактично відпущена кількість теплоти з недозавантаженого котла, МДж;</t>
  </si>
  <si>
    <r>
      <t>– витрата палива в існуючому котлі, м</t>
    </r>
    <r>
      <rPr>
        <sz val="12"/>
        <color theme="1"/>
        <rFont val="Calibri"/>
        <family val="2"/>
        <charset val="204"/>
      </rPr>
      <t>³/год</t>
    </r>
    <r>
      <rPr>
        <sz val="12"/>
        <color theme="1"/>
        <rFont val="Calibri"/>
        <family val="2"/>
        <charset val="204"/>
        <scheme val="minor"/>
      </rPr>
      <t>;</t>
    </r>
  </si>
  <si>
    <t>– ціна палива, грн/м³ або грн/кг;</t>
  </si>
  <si>
    <t>Встановлення теплоутилізатора</t>
  </si>
  <si>
    <t>α</t>
  </si>
  <si>
    <t>– температура повітря, яке надходить в котел на спалювання, °С;</t>
  </si>
  <si>
    <t>– коефіцієнт надлишку повітря в котлі;</t>
  </si>
  <si>
    <t>– вміст в продуктах згоряння вуглецевмісних компонентів, %;</t>
  </si>
  <si>
    <r>
      <t>t</t>
    </r>
    <r>
      <rPr>
        <vertAlign val="subscript"/>
        <sz val="12"/>
        <color theme="1"/>
        <rFont val="Calibri"/>
        <family val="2"/>
        <charset val="204"/>
        <scheme val="minor"/>
      </rPr>
      <t>ДГ</t>
    </r>
  </si>
  <si>
    <r>
      <t xml:space="preserve">– температура димових газів за котлом, </t>
    </r>
    <r>
      <rPr>
        <sz val="12"/>
        <color theme="1"/>
        <rFont val="Calibri"/>
        <family val="2"/>
        <charset val="204"/>
      </rPr>
      <t>°</t>
    </r>
    <r>
      <rPr>
        <sz val="12"/>
        <color theme="1"/>
        <rFont val="Calibri"/>
        <family val="2"/>
        <charset val="204"/>
        <scheme val="minor"/>
      </rPr>
      <t>С;</t>
    </r>
  </si>
  <si>
    <r>
      <t>t</t>
    </r>
    <r>
      <rPr>
        <vertAlign val="subscript"/>
        <sz val="12"/>
        <color theme="1"/>
        <rFont val="Calibri"/>
        <family val="2"/>
        <charset val="204"/>
        <scheme val="minor"/>
      </rPr>
      <t>П</t>
    </r>
  </si>
  <si>
    <r>
      <t>CO</t>
    </r>
    <r>
      <rPr>
        <sz val="12"/>
        <color theme="1"/>
        <rFont val="Calibri"/>
        <family val="2"/>
        <charset val="204"/>
      </rPr>
      <t>₂, CO, CH₄</t>
    </r>
  </si>
  <si>
    <r>
      <t>В</t>
    </r>
    <r>
      <rPr>
        <sz val="12"/>
        <color theme="1"/>
        <rFont val="Calibri"/>
        <family val="2"/>
        <charset val="204"/>
      </rPr>
      <t>₁</t>
    </r>
  </si>
  <si>
    <r>
      <t>– годинна витрата палива в котлі до встановлення теплоутилізатора,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Calibri"/>
        <family val="2"/>
        <charset val="204"/>
        <scheme val="minor"/>
      </rPr>
      <t>/год;</t>
    </r>
  </si>
  <si>
    <t>– коефіцієнт корисної дії котла до встановлення теплоутилізатора, середній за опалювальний період, %;</t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</si>
  <si>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q</t>
    </r>
    <r>
      <rPr>
        <sz val="12"/>
        <color theme="1"/>
        <rFont val="Calibri"/>
        <family val="2"/>
        <charset val="204"/>
      </rPr>
      <t>₂</t>
    </r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</si>
  <si>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q</t>
    </r>
    <r>
      <rPr>
        <sz val="12"/>
        <color theme="1"/>
        <rFont val="Calibri"/>
        <family val="2"/>
        <charset val="204"/>
      </rPr>
      <t>₂</t>
    </r>
    <r>
      <rPr>
        <vertAlign val="subscript"/>
        <sz val="12"/>
        <color theme="1"/>
        <rFont val="Calibri"/>
        <family val="2"/>
        <charset val="204"/>
      </rPr>
      <t>СУХ</t>
    </r>
  </si>
  <si>
    <r>
      <rPr>
        <sz val="12"/>
        <color theme="1"/>
        <rFont val="Calibri"/>
        <family val="2"/>
        <charset val="204"/>
      </rPr>
      <t>η₂</t>
    </r>
    <r>
      <rPr>
        <vertAlign val="subscript"/>
        <sz val="12"/>
        <color theme="1"/>
        <rFont val="Calibri"/>
        <family val="2"/>
        <charset val="204"/>
      </rPr>
      <t>СУХ</t>
    </r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</si>
  <si>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q</t>
    </r>
    <r>
      <rPr>
        <sz val="12"/>
        <color theme="1"/>
        <rFont val="Calibri"/>
        <family val="2"/>
        <charset val="204"/>
      </rPr>
      <t>₂</t>
    </r>
    <r>
      <rPr>
        <vertAlign val="subscript"/>
        <sz val="12"/>
        <color theme="1"/>
        <rFont val="Calibri"/>
        <family val="2"/>
        <charset val="204"/>
      </rPr>
      <t>КОНД</t>
    </r>
  </si>
  <si>
    <r>
      <t>η₂</t>
    </r>
    <r>
      <rPr>
        <vertAlign val="subscript"/>
        <sz val="12"/>
        <color theme="1"/>
        <rFont val="Calibri"/>
        <family val="2"/>
        <charset val="204"/>
      </rPr>
      <t>КОНД</t>
    </r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</si>
  <si>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В</t>
    </r>
    <r>
      <rPr>
        <vertAlign val="subscript"/>
        <sz val="12"/>
        <color theme="1"/>
        <rFont val="Calibri"/>
        <family val="2"/>
        <charset val="204"/>
      </rPr>
      <t>СУХ</t>
    </r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</si>
  <si>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В</t>
    </r>
    <r>
      <rPr>
        <vertAlign val="subscript"/>
        <sz val="12"/>
        <color theme="1"/>
        <rFont val="Calibri"/>
        <family val="2"/>
        <charset val="204"/>
      </rPr>
      <t>КОНД</t>
    </r>
  </si>
  <si>
    <t>– втрати теплоти з димовими газами в існуючому котлі без утилізації теплоти димових газів, %;</t>
  </si>
  <si>
    <t>– втрати теплоти з димовими газами в існуючому котлі при застосуванні "сухого економайзеру", %;</t>
  </si>
  <si>
    <t>– коефіцієнт корисної дії котла при застосуванні "сухого економайзеру", %;</t>
  </si>
  <si>
    <t>– втрати теплоти з димовими газами в існуючому котлі при застосуванні "конденсаційного економайзеру", %;</t>
  </si>
  <si>
    <t>– коефіцієнт корисної дії котла при застосуванні "конденсаційного економайзеру", %;</t>
  </si>
  <si>
    <r>
      <t>– економія палива на відпуск теплової енергії після встановлення економайзеру "сухого" типу, м</t>
    </r>
    <r>
      <rPr>
        <sz val="12"/>
        <color theme="1"/>
        <rFont val="Calibri"/>
        <family val="2"/>
        <charset val="204"/>
      </rPr>
      <t>³/год;</t>
    </r>
  </si>
  <si>
    <r>
      <t>– економія палива на відпуск теплової енергії після встановлення конденсаційного економайзеру, м</t>
    </r>
    <r>
      <rPr>
        <sz val="12"/>
        <color theme="1"/>
        <rFont val="Calibri"/>
        <family val="2"/>
        <charset val="204"/>
      </rPr>
      <t>³/год;</t>
    </r>
  </si>
  <si>
    <r>
      <t>Е</t>
    </r>
    <r>
      <rPr>
        <vertAlign val="subscript"/>
        <sz val="12"/>
        <color theme="1"/>
        <rFont val="Calibri"/>
        <family val="2"/>
        <charset val="204"/>
        <scheme val="minor"/>
      </rPr>
      <t>СУХ</t>
    </r>
  </si>
  <si>
    <r>
      <t>Е</t>
    </r>
    <r>
      <rPr>
        <vertAlign val="subscript"/>
        <sz val="12"/>
        <color theme="1"/>
        <rFont val="Calibri"/>
        <family val="2"/>
        <charset val="204"/>
        <scheme val="minor"/>
      </rPr>
      <t>КОНД</t>
    </r>
  </si>
  <si>
    <t>Встановлення когенераційної установки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</si>
  <si>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рік</t>
    </r>
  </si>
  <si>
    <r>
      <t>T</t>
    </r>
    <r>
      <rPr>
        <vertAlign val="subscript"/>
        <sz val="12"/>
        <color theme="1"/>
        <rFont val="Calibri"/>
        <family val="2"/>
        <charset val="204"/>
        <scheme val="minor"/>
      </rPr>
      <t>рік</t>
    </r>
  </si>
  <si>
    <r>
      <t>Ц</t>
    </r>
    <r>
      <rPr>
        <vertAlign val="subscript"/>
        <sz val="12"/>
        <color theme="1"/>
        <rFont val="Calibri"/>
        <family val="2"/>
        <charset val="204"/>
        <scheme val="minor"/>
      </rPr>
      <t>ПГ</t>
    </r>
  </si>
  <si>
    <r>
      <t>Ц</t>
    </r>
    <r>
      <rPr>
        <vertAlign val="subscript"/>
        <sz val="12"/>
        <color theme="1"/>
        <rFont val="Calibri"/>
        <family val="2"/>
        <charset val="204"/>
        <scheme val="minor"/>
      </rPr>
      <t>Е</t>
    </r>
  </si>
  <si>
    <r>
      <rPr>
        <sz val="12"/>
        <color theme="1"/>
        <rFont val="Calibri"/>
        <family val="2"/>
        <charset val="204"/>
      </rPr>
      <t>η</t>
    </r>
    <r>
      <rPr>
        <vertAlign val="subscript"/>
        <sz val="12"/>
        <color theme="1"/>
        <rFont val="Calibri"/>
        <family val="2"/>
        <charset val="204"/>
      </rPr>
      <t>к</t>
    </r>
  </si>
  <si>
    <t>– число годин використання теплового навантаження за рік, годин;</t>
  </si>
  <si>
    <r>
      <t>– ціна природного газу, грн/м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Calibri"/>
        <family val="2"/>
        <charset val="204"/>
        <scheme val="minor"/>
      </rPr>
      <t>;</t>
    </r>
  </si>
  <si>
    <t>– ціна електроенергії, грн/кВт·год;</t>
  </si>
  <si>
    <r>
      <t>– теплота згоряння палива, МДж/м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Calibri"/>
        <family val="2"/>
        <charset val="204"/>
        <scheme val="minor"/>
      </rPr>
      <t>;</t>
    </r>
  </si>
  <si>
    <t>– коефіцієнт корисної дії котла, частка одиниці;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</si>
  <si>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год</t>
    </r>
  </si>
  <si>
    <t>– середньогодинне теплове навантаження, ГДж/год;</t>
  </si>
  <si>
    <t>Q</t>
  </si>
  <si>
    <r>
      <t>Q</t>
    </r>
    <r>
      <rPr>
        <vertAlign val="subscript"/>
        <sz val="12"/>
        <color theme="1"/>
        <rFont val="Calibri"/>
        <family val="2"/>
        <charset val="204"/>
      </rPr>
      <t>КГУ</t>
    </r>
  </si>
  <si>
    <t>– встановлена теплова потужність прийнятої когенераційної установки, кВт;</t>
  </si>
  <si>
    <t>– встановлена електрична потужність прийнятої когенераційної установки, кВт;</t>
  </si>
  <si>
    <r>
      <t>N</t>
    </r>
    <r>
      <rPr>
        <vertAlign val="subscript"/>
        <sz val="12"/>
        <color theme="1"/>
        <rFont val="Calibri"/>
        <family val="2"/>
        <charset val="204"/>
      </rPr>
      <t>КГУ</t>
    </r>
  </si>
  <si>
    <r>
      <t>В</t>
    </r>
    <r>
      <rPr>
        <vertAlign val="subscript"/>
        <sz val="12"/>
        <color theme="1"/>
        <rFont val="Calibri"/>
        <family val="2"/>
        <charset val="204"/>
      </rPr>
      <t>КГУ</t>
    </r>
  </si>
  <si>
    <r>
      <t>– годинна витрата природного газу когенераційною установкою, м</t>
    </r>
    <r>
      <rPr>
        <sz val="12"/>
        <color theme="1"/>
        <rFont val="Calibri"/>
        <family val="2"/>
        <charset val="204"/>
      </rPr>
      <t>³/год</t>
    </r>
    <r>
      <rPr>
        <sz val="12"/>
        <color theme="1"/>
        <rFont val="Calibri"/>
        <family val="2"/>
        <charset val="204"/>
        <scheme val="minor"/>
      </rPr>
      <t>;</t>
    </r>
  </si>
  <si>
    <r>
      <t>α</t>
    </r>
    <r>
      <rPr>
        <vertAlign val="subscript"/>
        <sz val="12"/>
        <color theme="1"/>
        <rFont val="Calibri"/>
        <family val="2"/>
        <charset val="204"/>
      </rPr>
      <t>ВП</t>
    </r>
    <r>
      <rPr>
        <vertAlign val="superscript"/>
        <sz val="12"/>
        <color theme="1"/>
        <rFont val="Calibri"/>
        <family val="2"/>
        <charset val="204"/>
      </rPr>
      <t xml:space="preserve"> ЕЕ</t>
    </r>
  </si>
  <si>
    <t>– частка виробленої електричної енергії, яка витрачається на власні потреби, частка одиниці;</t>
  </si>
  <si>
    <t>– поправочний коефіцієнт на використання пікового водогрійного котла 
(k ≈ 0,85÷0,95).</t>
  </si>
  <si>
    <t>k</t>
  </si>
  <si>
    <t>– необхідна кількість когенераційних установок;</t>
  </si>
  <si>
    <r>
      <t>Т</t>
    </r>
    <r>
      <rPr>
        <vertAlign val="subscript"/>
        <sz val="12"/>
        <color theme="1"/>
        <rFont val="Calibri"/>
        <family val="2"/>
        <charset val="204"/>
        <scheme val="minor"/>
      </rPr>
      <t>ВСТ</t>
    </r>
  </si>
  <si>
    <t>– число годин використання встановленої потужності, год;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</si>
  <si>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РІК</t>
    </r>
    <r>
      <rPr>
        <vertAlign val="superscript"/>
        <sz val="12"/>
        <color theme="1"/>
        <rFont val="Calibri"/>
        <family val="2"/>
        <charset val="204"/>
        <scheme val="minor"/>
      </rPr>
      <t>КГУ</t>
    </r>
  </si>
  <si>
    <r>
      <t>E</t>
    </r>
    <r>
      <rPr>
        <vertAlign val="subscript"/>
        <sz val="12"/>
        <color theme="1"/>
        <rFont val="Calibri"/>
        <family val="2"/>
        <charset val="204"/>
        <scheme val="minor"/>
      </rPr>
      <t>РІК</t>
    </r>
    <r>
      <rPr>
        <vertAlign val="superscript"/>
        <sz val="12"/>
        <color theme="1"/>
        <rFont val="Calibri"/>
        <family val="2"/>
        <charset val="204"/>
        <scheme val="minor"/>
      </rPr>
      <t>КГУ</t>
    </r>
  </si>
  <si>
    <r>
      <t>В</t>
    </r>
    <r>
      <rPr>
        <vertAlign val="subscript"/>
        <sz val="12"/>
        <color theme="1"/>
        <rFont val="Calibri"/>
        <family val="2"/>
        <charset val="204"/>
        <scheme val="minor"/>
      </rPr>
      <t>РІК</t>
    </r>
    <r>
      <rPr>
        <vertAlign val="superscript"/>
        <sz val="12"/>
        <color theme="1"/>
        <rFont val="Calibri"/>
        <family val="2"/>
        <charset val="204"/>
        <scheme val="minor"/>
      </rPr>
      <t>КГУ</t>
    </r>
  </si>
  <si>
    <t>– фактичне вироблення теплової енергії за рік, ГДж/рік;</t>
  </si>
  <si>
    <t>– річний відпуск теплової енергії споживачам, ГДж/рік;</t>
  </si>
  <si>
    <r>
      <t>ПГ</t>
    </r>
    <r>
      <rPr>
        <vertAlign val="subscript"/>
        <sz val="12"/>
        <color theme="1"/>
        <rFont val="Calibri"/>
        <family val="2"/>
        <charset val="204"/>
        <scheme val="minor"/>
      </rPr>
      <t>КГУ</t>
    </r>
  </si>
  <si>
    <t>– річні грошові витрати на купівлю природного газу в КГУ, грн/рік;</t>
  </si>
  <si>
    <r>
      <t>– розрахункова річна витрата природного газу в КГУ, м</t>
    </r>
    <r>
      <rPr>
        <sz val="12"/>
        <color theme="1"/>
        <rFont val="Calibri"/>
        <family val="2"/>
        <charset val="204"/>
      </rPr>
      <t>³/рік;</t>
    </r>
  </si>
  <si>
    <t>ЕЕ</t>
  </si>
  <si>
    <r>
      <t>– фактичне вироблення електричної енергії за рік, кВт</t>
    </r>
    <r>
      <rPr>
        <sz val="12"/>
        <color theme="1"/>
        <rFont val="Calibri"/>
        <family val="2"/>
        <charset val="204"/>
      </rPr>
      <t>·год/рік;</t>
    </r>
  </si>
  <si>
    <r>
      <t>ПГ'</t>
    </r>
    <r>
      <rPr>
        <vertAlign val="subscript"/>
        <sz val="12"/>
        <color theme="1"/>
        <rFont val="Calibri"/>
        <family val="2"/>
        <charset val="204"/>
        <scheme val="minor"/>
      </rPr>
      <t>КГУ</t>
    </r>
  </si>
  <si>
    <t>– кінцеві витрати на купівлю природного газу, грн/рік;</t>
  </si>
  <si>
    <r>
      <t>В</t>
    </r>
    <r>
      <rPr>
        <vertAlign val="subscript"/>
        <sz val="12"/>
        <color theme="1"/>
        <rFont val="Calibri"/>
        <family val="2"/>
        <charset val="204"/>
        <scheme val="minor"/>
      </rPr>
      <t>РІК</t>
    </r>
    <r>
      <rPr>
        <vertAlign val="superscript"/>
        <sz val="12"/>
        <color theme="1"/>
        <rFont val="Calibri"/>
        <family val="2"/>
        <charset val="204"/>
        <scheme val="minor"/>
      </rPr>
      <t>К</t>
    </r>
  </si>
  <si>
    <r>
      <t>– витрата природного газу при виробленні еквівалентної кількості теплової енергії в водогрійних котлах,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Calibri"/>
        <family val="2"/>
        <charset val="204"/>
        <scheme val="minor"/>
      </rPr>
      <t>/рік;</t>
    </r>
  </si>
  <si>
    <r>
      <t>ПГ</t>
    </r>
    <r>
      <rPr>
        <vertAlign val="subscript"/>
        <sz val="12"/>
        <color theme="1"/>
        <rFont val="Calibri"/>
        <family val="2"/>
        <charset val="204"/>
        <scheme val="minor"/>
      </rPr>
      <t>К</t>
    </r>
  </si>
  <si>
    <r>
      <t>ЕЕ</t>
    </r>
    <r>
      <rPr>
        <vertAlign val="subscript"/>
        <sz val="12"/>
        <color theme="1"/>
        <rFont val="Calibri"/>
        <family val="2"/>
        <charset val="204"/>
        <scheme val="minor"/>
      </rPr>
      <t>К</t>
    </r>
  </si>
  <si>
    <t>– річні грошові витрати на купівлю природного газу в котельні, грн/рік;</t>
  </si>
  <si>
    <t>– річні грошові витрати на купівлю електроенергії для власних потреб в котельні, грн/рік;</t>
  </si>
  <si>
    <t>– економія коштів після встановлення когенераційної газопоршневої установки, грн/рік;</t>
  </si>
  <si>
    <t>Заміна теплотрас на попередньо ізольовані</t>
  </si>
  <si>
    <t>L</t>
  </si>
  <si>
    <t>– довжина ділянки, м;</t>
  </si>
  <si>
    <r>
      <t>d</t>
    </r>
    <r>
      <rPr>
        <vertAlign val="subscript"/>
        <sz val="12"/>
        <color theme="1"/>
        <rFont val="Calibri"/>
        <family val="2"/>
        <charset val="204"/>
        <scheme val="minor"/>
      </rPr>
      <t>З</t>
    </r>
  </si>
  <si>
    <r>
      <t>D</t>
    </r>
    <r>
      <rPr>
        <vertAlign val="subscript"/>
        <sz val="12"/>
        <color theme="1"/>
        <rFont val="Calibri"/>
        <family val="2"/>
        <charset val="204"/>
        <scheme val="minor"/>
      </rPr>
      <t>З</t>
    </r>
  </si>
  <si>
    <r>
      <t>λ</t>
    </r>
    <r>
      <rPr>
        <vertAlign val="subscript"/>
        <sz val="12"/>
        <color theme="1"/>
        <rFont val="Calibri"/>
        <family val="2"/>
        <charset val="204"/>
      </rPr>
      <t>ІЗ</t>
    </r>
  </si>
  <si>
    <r>
      <rPr>
        <sz val="12"/>
        <color theme="1"/>
        <rFont val="Calibri"/>
        <family val="2"/>
        <charset val="204"/>
      </rPr>
      <t>η</t>
    </r>
    <r>
      <rPr>
        <vertAlign val="subscript"/>
        <sz val="12"/>
        <color theme="1"/>
        <rFont val="Calibri"/>
        <family val="2"/>
        <charset val="204"/>
      </rPr>
      <t>К</t>
    </r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</si>
  <si>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Н</t>
    </r>
    <r>
      <rPr>
        <vertAlign val="superscript"/>
        <sz val="12"/>
        <color theme="1"/>
        <rFont val="Calibri"/>
        <family val="2"/>
        <charset val="204"/>
        <scheme val="minor"/>
      </rPr>
      <t>Р</t>
    </r>
  </si>
  <si>
    <t>– зовнішній діаметр трубопроводу без ізоляції, м;</t>
  </si>
  <si>
    <t>– зовнішній діаметр ізольованого трубопроводу, м;</t>
  </si>
  <si>
    <r>
      <t>– теплота згоряння палива, кДж/м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Calibri"/>
        <family val="2"/>
        <charset val="204"/>
        <scheme val="minor"/>
      </rPr>
      <t>(кДж/кг);</t>
    </r>
  </si>
  <si>
    <r>
      <t>q</t>
    </r>
    <r>
      <rPr>
        <sz val="12"/>
        <color theme="1"/>
        <rFont val="Calibri"/>
        <family val="2"/>
        <charset val="204"/>
      </rPr>
      <t>₁</t>
    </r>
  </si>
  <si>
    <t>– тепловий потік з поверхні 1 погонного метру ізольованого трубопроводу, Вт/м;</t>
  </si>
  <si>
    <t>R₁</t>
  </si>
  <si>
    <r>
      <t>R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ІЗ</t>
    </r>
  </si>
  <si>
    <t>– коефіцієнт теплопровідності ізоляції, Вт/(м · °С);</t>
  </si>
  <si>
    <r>
      <t>– ціна палива, грн/м</t>
    </r>
    <r>
      <rPr>
        <sz val="12"/>
        <color theme="1"/>
        <rFont val="Calibri"/>
        <family val="2"/>
        <charset val="204"/>
      </rPr>
      <t>³(грн/кг);</t>
    </r>
  </si>
  <si>
    <r>
      <t xml:space="preserve">– термічний опір ізоляції попередньо ізольованого трубопроводу, (м </t>
    </r>
    <r>
      <rPr>
        <sz val="12"/>
        <color theme="1"/>
        <rFont val="Calibri"/>
        <family val="2"/>
        <charset val="204"/>
      </rPr>
      <t>· °С)/Вт;</t>
    </r>
  </si>
  <si>
    <r>
      <t>R</t>
    </r>
    <r>
      <rPr>
        <sz val="12"/>
        <color theme="1"/>
        <rFont val="Calibri"/>
        <family val="2"/>
        <charset val="204"/>
      </rPr>
      <t>₁</t>
    </r>
    <r>
      <rPr>
        <sz val="12"/>
        <color theme="1"/>
        <rFont val="Calibri"/>
        <family val="2"/>
        <charset val="204"/>
        <scheme val="minor"/>
      </rPr>
      <t>''</t>
    </r>
  </si>
  <si>
    <r>
      <t>– коефіцієнт тепловіддачі від поверзні ізоляції, Вт/(м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Calibri"/>
        <family val="2"/>
        <charset val="204"/>
        <scheme val="minor"/>
      </rPr>
      <t xml:space="preserve"> · °С);</t>
    </r>
  </si>
  <si>
    <t>– термічний опір тепловіддачі від поверхні попередньо ізольованої труби в навколишнє середовище, (м · °С)/Вт;</t>
  </si>
  <si>
    <t>– сумарний термічний опір від поверхні труби до навколишнього середовища, (м·К)/Вт;</t>
  </si>
  <si>
    <r>
      <t>q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ІЗ</t>
    </r>
  </si>
  <si>
    <r>
      <t>t</t>
    </r>
    <r>
      <rPr>
        <vertAlign val="subscript"/>
        <sz val="12"/>
        <color theme="1"/>
        <rFont val="Calibri"/>
        <family val="2"/>
        <charset val="204"/>
      </rPr>
      <t>РН</t>
    </r>
  </si>
  <si>
    <r>
      <t xml:space="preserve">– температура навколишнього середовища, </t>
    </r>
    <r>
      <rPr>
        <sz val="12"/>
        <color theme="1"/>
        <rFont val="Calibri"/>
        <family val="2"/>
        <charset val="204"/>
      </rPr>
      <t>°С;</t>
    </r>
  </si>
  <si>
    <t>τ</t>
  </si>
  <si>
    <t>– середня температура теплоносія в мережі, °С;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</si>
  <si>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ВТР</t>
    </r>
    <r>
      <rPr>
        <vertAlign val="superscript"/>
        <sz val="12"/>
        <color theme="1"/>
        <rFont val="Calibri"/>
        <family val="2"/>
        <charset val="204"/>
        <scheme val="minor"/>
      </rPr>
      <t>ІЗ</t>
    </r>
  </si>
  <si>
    <r>
      <t>R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П</t>
    </r>
    <r>
      <rPr>
        <sz val="12"/>
        <color theme="1"/>
        <rFont val="Calibri"/>
        <family val="2"/>
        <charset val="204"/>
      </rPr>
      <t>=R₁</t>
    </r>
    <r>
      <rPr>
        <vertAlign val="superscript"/>
        <sz val="12"/>
        <color theme="1"/>
        <rFont val="Calibri"/>
        <family val="2"/>
        <charset val="204"/>
      </rPr>
      <t>П</t>
    </r>
    <r>
      <rPr>
        <sz val="12"/>
        <color theme="1"/>
        <rFont val="Calibri"/>
        <family val="2"/>
        <charset val="204"/>
      </rPr>
      <t>''</t>
    </r>
  </si>
  <si>
    <t>– сумарний термічний опір від поверхні труби до навколишнього середовища не ізольованого трубопроводу, (м·К)/Вт;</t>
  </si>
  <si>
    <r>
      <t>q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П</t>
    </r>
  </si>
  <si>
    <t>– тепловий потік з поверхні 1 погонного метру не ізольованого трубопроводу, Вт/м;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</si>
  <si>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ВТР</t>
    </r>
    <r>
      <rPr>
        <vertAlign val="superscript"/>
        <sz val="12"/>
        <color theme="1"/>
        <rFont val="Calibri"/>
        <family val="2"/>
        <charset val="204"/>
        <scheme val="minor"/>
      </rPr>
      <t>П</t>
    </r>
  </si>
  <si>
    <t>– кількість теплоти, віддана не ізольованою ділянкою в навколишнє середовище, кВт;</t>
  </si>
  <si>
    <t>– кількість теплоти, віддана ізольованою ділянкою в навколишнє середовище, кВт;</t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</si>
  <si>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В</t>
    </r>
    <r>
      <rPr>
        <vertAlign val="subscript"/>
        <sz val="12"/>
        <color theme="1"/>
        <rFont val="Calibri"/>
        <family val="2"/>
        <charset val="204"/>
      </rPr>
      <t>ІЗ</t>
    </r>
  </si>
  <si>
    <r>
      <t>– економія палива за рахунок застосування попередньо ізольованих труб у порівнянні з неізольованим трубопроводом, м</t>
    </r>
    <r>
      <rPr>
        <sz val="12"/>
        <color theme="1"/>
        <rFont val="Calibri"/>
        <family val="2"/>
        <charset val="204"/>
      </rPr>
      <t>³/год;</t>
    </r>
  </si>
  <si>
    <t>– економія коштів після заміни трубопроводу, грн/рік;</t>
  </si>
  <si>
    <r>
      <t>λ</t>
    </r>
    <r>
      <rPr>
        <vertAlign val="subscript"/>
        <sz val="12"/>
        <color theme="1"/>
        <rFont val="Calibri"/>
        <family val="2"/>
        <charset val="204"/>
      </rPr>
      <t>ПШ</t>
    </r>
  </si>
  <si>
    <t>– коефіцієнт теплопровідності покривного шару, Вт/(м · °С);</t>
  </si>
  <si>
    <t>– товщина покривного шару, мм;</t>
  </si>
  <si>
    <r>
      <rPr>
        <sz val="12"/>
        <color theme="1"/>
        <rFont val="Calibri"/>
        <family val="2"/>
        <charset val="204"/>
      </rPr>
      <t>δ</t>
    </r>
    <r>
      <rPr>
        <vertAlign val="subscript"/>
        <sz val="12"/>
        <color theme="1"/>
        <rFont val="Calibri"/>
        <family val="2"/>
        <charset val="204"/>
        <scheme val="minor"/>
      </rPr>
      <t>ПШ</t>
    </r>
  </si>
  <si>
    <r>
      <t>q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Н</t>
    </r>
  </si>
  <si>
    <t>– нормоване значення лінійної густини теплового потоку для заданих умов, Вт/м;</t>
  </si>
  <si>
    <r>
      <t>R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Н</t>
    </r>
  </si>
  <si>
    <r>
      <rPr>
        <sz val="12"/>
        <color theme="1"/>
        <rFont val="Calibri"/>
        <family val="2"/>
        <charset val="204"/>
      </rPr>
      <t>δ</t>
    </r>
    <r>
      <rPr>
        <vertAlign val="subscript"/>
        <sz val="12"/>
        <color theme="1"/>
        <rFont val="Calibri"/>
        <family val="2"/>
        <charset val="204"/>
        <scheme val="minor"/>
      </rPr>
      <t>ІЗ</t>
    </r>
  </si>
  <si>
    <t>– товщина шару теплової ізоляції, м;</t>
  </si>
  <si>
    <r>
      <t>R</t>
    </r>
    <r>
      <rPr>
        <sz val="12"/>
        <color theme="1"/>
        <rFont val="Calibri"/>
        <family val="2"/>
        <charset val="204"/>
      </rPr>
      <t>₁</t>
    </r>
    <r>
      <rPr>
        <vertAlign val="superscript"/>
        <sz val="12"/>
        <color theme="1"/>
        <rFont val="Calibri"/>
        <family val="2"/>
        <charset val="204"/>
      </rPr>
      <t>ПШ</t>
    </r>
  </si>
  <si>
    <t>– термічний опір основного шару ізоляції, (м·К)/Вт;</t>
  </si>
  <si>
    <t>– термічний опір покривного шару, (м·К)/Вт;</t>
  </si>
  <si>
    <r>
      <rPr>
        <sz val="12"/>
        <color theme="1"/>
        <rFont val="Calibri"/>
        <family val="2"/>
        <charset val="204"/>
      </rPr>
      <t>R₁</t>
    </r>
    <r>
      <rPr>
        <sz val="12"/>
        <color theme="1"/>
        <rFont val="Calibri"/>
        <family val="2"/>
        <charset val="204"/>
      </rPr>
      <t>''</t>
    </r>
  </si>
  <si>
    <t>– термічний опір тепловіддачі від поверхні покривного шару ізольованої труби в навколишнє середовище, (м·К)/Вт;</t>
  </si>
  <si>
    <t>– тепловий потік з поверхні 1 погонного метру трубопроводу, Вт/м;</t>
  </si>
  <si>
    <r>
      <t>Ц</t>
    </r>
    <r>
      <rPr>
        <vertAlign val="subscript"/>
        <sz val="12"/>
        <color theme="1"/>
        <rFont val="Calibri"/>
        <family val="2"/>
        <charset val="204"/>
        <scheme val="minor"/>
      </rPr>
      <t>ІЗ</t>
    </r>
  </si>
  <si>
    <r>
      <t>– ціна ізоляції, грн/м</t>
    </r>
    <r>
      <rPr>
        <sz val="12"/>
        <color theme="1"/>
        <rFont val="Calibri"/>
        <family val="2"/>
        <charset val="204"/>
      </rPr>
      <t>²</t>
    </r>
  </si>
  <si>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Calibri"/>
        <family val="2"/>
        <charset val="204"/>
        <scheme val="minor"/>
      </rPr>
      <t>В</t>
    </r>
    <r>
      <rPr>
        <vertAlign val="subscript"/>
        <sz val="12"/>
        <color theme="1"/>
        <rFont val="Calibri"/>
        <family val="2"/>
        <charset val="204"/>
      </rPr>
      <t>ІЗ1</t>
    </r>
  </si>
  <si>
    <r>
      <t>– економія палива за рахунок застосування попередньо ізольованих труб у порівнянні з ізольованим трубопроводом, м</t>
    </r>
    <r>
      <rPr>
        <sz val="12"/>
        <color theme="1"/>
        <rFont val="Calibri"/>
        <family val="2"/>
        <charset val="204"/>
      </rPr>
      <t>³/год;</t>
    </r>
  </si>
  <si>
    <r>
      <t>Е</t>
    </r>
    <r>
      <rPr>
        <sz val="12"/>
        <color theme="1"/>
        <rFont val="Calibri"/>
        <family val="2"/>
        <charset val="204"/>
      </rPr>
      <t>₁</t>
    </r>
  </si>
  <si>
    <t>– економія коштів після заміни ізольованого трубопроводу на попередньоізольований, грн/рік;</t>
  </si>
  <si>
    <t>Вихідні дані</t>
  </si>
  <si>
    <t>Розрахунок</t>
  </si>
  <si>
    <t>– річний грошовий прибуток від проданої електричної енергії, грн/рік;</t>
  </si>
  <si>
    <r>
      <t>P</t>
    </r>
    <r>
      <rPr>
        <vertAlign val="subscript"/>
        <sz val="12"/>
        <color theme="1"/>
        <rFont val="Calibri"/>
        <family val="2"/>
        <charset val="204"/>
        <scheme val="minor"/>
      </rPr>
      <t>ном</t>
    </r>
  </si>
  <si>
    <t>Встановлення частотного перетворювача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</si>
  <si>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др</t>
    </r>
  </si>
  <si>
    <t>– номінальна потужність двигуна насосу, кВт;</t>
  </si>
  <si>
    <t>– номінальна витрата насосу, м³/год;</t>
  </si>
  <si>
    <t>– витрата, при дроселюванні, м³/год;</t>
  </si>
  <si>
    <t>– ціна електроенергії, грн./кВт·год;</t>
  </si>
  <si>
    <r>
      <t>Т</t>
    </r>
    <r>
      <rPr>
        <vertAlign val="subscript"/>
        <sz val="12"/>
        <color theme="1"/>
        <rFont val="Calibri"/>
        <family val="2"/>
        <charset val="204"/>
        <scheme val="minor"/>
      </rPr>
      <t>др</t>
    </r>
  </si>
  <si>
    <r>
      <t>P</t>
    </r>
    <r>
      <rPr>
        <vertAlign val="subscript"/>
        <sz val="12"/>
        <color theme="1"/>
        <rFont val="Calibri"/>
        <family val="2"/>
        <charset val="204"/>
        <scheme val="minor"/>
      </rPr>
      <t>др</t>
    </r>
  </si>
  <si>
    <t>– споживана потужність при дроселюванні, кВт;</t>
  </si>
  <si>
    <t>– загальне число годин роботи насосу за рік, годин;</t>
  </si>
  <si>
    <t>– число годин роботи насосу в номінальному режимі за рік, годин;</t>
  </si>
  <si>
    <r>
      <t>P</t>
    </r>
    <r>
      <rPr>
        <vertAlign val="subscript"/>
        <sz val="12"/>
        <color theme="1"/>
        <rFont val="Calibri"/>
        <family val="2"/>
        <charset val="204"/>
        <scheme val="minor"/>
      </rPr>
      <t>ЧРП</t>
    </r>
  </si>
  <si>
    <t>– споживана потужність при частотному регулюванні, кВт;</t>
  </si>
  <si>
    <t>ΔP</t>
  </si>
  <si>
    <t>– зменшення потужності при застосуванні частотного перетворювача, кВт;</t>
  </si>
  <si>
    <t>ΔЕЕ</t>
  </si>
  <si>
    <t>– зменшення електроспоживання при застосуванні частотного перетворювача, кВт;</t>
  </si>
  <si>
    <t>Встановлення системи погодного регулювання</t>
  </si>
  <si>
    <t>Дата</t>
  </si>
  <si>
    <t>Споживання тепла, Гкал</t>
  </si>
  <si>
    <t>Споживання тепла після впровадження, Гкал</t>
  </si>
  <si>
    <t>Ц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</si>
  <si>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Н</t>
    </r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</si>
  <si>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і</t>
    </r>
  </si>
  <si>
    <t>– річне споживання теплової енергії без погодного регулювання, Гкал;</t>
  </si>
  <si>
    <t>– річне споживання після впровадження заходу, Гкал;</t>
  </si>
  <si>
    <r>
      <t>Т</t>
    </r>
    <r>
      <rPr>
        <vertAlign val="subscript"/>
        <sz val="11"/>
        <color theme="1"/>
        <rFont val="Calibri"/>
        <family val="2"/>
        <charset val="204"/>
        <scheme val="minor"/>
      </rPr>
      <t>Р</t>
    </r>
  </si>
  <si>
    <r>
      <t>Ц</t>
    </r>
    <r>
      <rPr>
        <vertAlign val="subscript"/>
        <sz val="11"/>
        <color theme="1"/>
        <rFont val="Calibri"/>
        <family val="2"/>
        <charset val="204"/>
        <scheme val="minor"/>
      </rPr>
      <t>ПАЛ</t>
    </r>
  </si>
  <si>
    <r>
      <t>– економія палива на відпуск теплової енергії після заміни котла, м</t>
    </r>
    <r>
      <rPr>
        <sz val="11"/>
        <color theme="1"/>
        <rFont val="Calibri"/>
        <family val="2"/>
        <charset val="204"/>
      </rPr>
      <t>³/год;</t>
    </r>
  </si>
  <si>
    <r>
      <t>Q</t>
    </r>
    <r>
      <rPr>
        <vertAlign val="subscript"/>
        <sz val="11"/>
        <rFont val="Calibri"/>
        <family val="2"/>
        <charset val="204"/>
        <scheme val="minor"/>
      </rPr>
      <t>ном</t>
    </r>
  </si>
  <si>
    <r>
      <t>В</t>
    </r>
    <r>
      <rPr>
        <vertAlign val="subscript"/>
        <sz val="11"/>
        <rFont val="Calibri"/>
        <family val="2"/>
        <charset val="204"/>
        <scheme val="minor"/>
      </rPr>
      <t>г</t>
    </r>
  </si>
  <si>
    <r>
      <t>– годинна витрата палива у газовому котлі, м</t>
    </r>
    <r>
      <rPr>
        <sz val="11"/>
        <rFont val="Calibri"/>
        <family val="2"/>
        <charset val="204"/>
      </rPr>
      <t>³/год;</t>
    </r>
  </si>
  <si>
    <r>
      <t>Q</t>
    </r>
    <r>
      <rPr>
        <vertAlign val="subscript"/>
        <sz val="11"/>
        <rFont val="Calibri"/>
        <family val="2"/>
        <charset val="204"/>
        <scheme val="minor"/>
      </rPr>
      <t>н</t>
    </r>
    <r>
      <rPr>
        <vertAlign val="superscript"/>
        <sz val="11"/>
        <rFont val="Calibri"/>
        <family val="2"/>
        <charset val="204"/>
        <scheme val="minor"/>
      </rPr>
      <t>р</t>
    </r>
    <r>
      <rPr>
        <vertAlign val="subscript"/>
        <sz val="11"/>
        <rFont val="Calibri"/>
        <family val="2"/>
        <charset val="204"/>
        <scheme val="minor"/>
      </rPr>
      <t>г</t>
    </r>
  </si>
  <si>
    <r>
      <t>– нижча теплота згоряння газоподібного палива, МДж/м</t>
    </r>
    <r>
      <rPr>
        <sz val="11"/>
        <rFont val="Calibri"/>
        <family val="2"/>
        <charset val="204"/>
      </rPr>
      <t>³;</t>
    </r>
  </si>
  <si>
    <r>
      <t>η</t>
    </r>
    <r>
      <rPr>
        <vertAlign val="subscript"/>
        <sz val="11"/>
        <rFont val="Calibri"/>
        <family val="2"/>
        <charset val="204"/>
      </rPr>
      <t>гк</t>
    </r>
  </si>
  <si>
    <r>
      <t>Q</t>
    </r>
    <r>
      <rPr>
        <vertAlign val="subscript"/>
        <sz val="11"/>
        <rFont val="Calibri"/>
        <family val="2"/>
        <charset val="204"/>
        <scheme val="minor"/>
      </rPr>
      <t>н</t>
    </r>
    <r>
      <rPr>
        <vertAlign val="superscript"/>
        <sz val="11"/>
        <rFont val="Calibri"/>
        <family val="2"/>
        <charset val="204"/>
        <scheme val="minor"/>
      </rPr>
      <t>р</t>
    </r>
    <r>
      <rPr>
        <vertAlign val="subscript"/>
        <sz val="11"/>
        <rFont val="Calibri"/>
        <family val="2"/>
        <charset val="204"/>
        <scheme val="minor"/>
      </rPr>
      <t>тп</t>
    </r>
  </si>
  <si>
    <r>
      <t>η</t>
    </r>
    <r>
      <rPr>
        <vertAlign val="subscript"/>
        <sz val="11"/>
        <rFont val="Calibri"/>
        <family val="2"/>
        <charset val="204"/>
      </rPr>
      <t>тпк</t>
    </r>
  </si>
  <si>
    <r>
      <t>Т</t>
    </r>
    <r>
      <rPr>
        <vertAlign val="subscript"/>
        <sz val="11"/>
        <rFont val="Calibri"/>
        <family val="2"/>
        <charset val="204"/>
        <scheme val="minor"/>
      </rPr>
      <t>р</t>
    </r>
  </si>
  <si>
    <r>
      <t>Ц</t>
    </r>
    <r>
      <rPr>
        <vertAlign val="subscript"/>
        <sz val="11"/>
        <rFont val="Calibri"/>
        <family val="2"/>
        <charset val="204"/>
        <scheme val="minor"/>
      </rPr>
      <t>г</t>
    </r>
  </si>
  <si>
    <r>
      <t>– ціна газоподібного палива, грн/м</t>
    </r>
    <r>
      <rPr>
        <sz val="11"/>
        <rFont val="Calibri"/>
        <family val="2"/>
        <charset val="204"/>
      </rPr>
      <t>³</t>
    </r>
    <r>
      <rPr>
        <sz val="11"/>
        <rFont val="Calibri"/>
        <family val="2"/>
        <charset val="204"/>
        <scheme val="minor"/>
      </rPr>
      <t>;</t>
    </r>
  </si>
  <si>
    <r>
      <t>Ц</t>
    </r>
    <r>
      <rPr>
        <vertAlign val="subscript"/>
        <sz val="11"/>
        <rFont val="Calibri"/>
        <family val="2"/>
        <charset val="204"/>
        <scheme val="minor"/>
      </rPr>
      <t>тп</t>
    </r>
  </si>
  <si>
    <r>
      <t>Q</t>
    </r>
    <r>
      <rPr>
        <vertAlign val="subscript"/>
        <sz val="11"/>
        <rFont val="Calibri"/>
        <family val="2"/>
        <charset val="204"/>
        <scheme val="minor"/>
      </rPr>
      <t>відп</t>
    </r>
  </si>
  <si>
    <r>
      <t>Q</t>
    </r>
    <r>
      <rPr>
        <vertAlign val="subscript"/>
        <sz val="11"/>
        <rFont val="Calibri"/>
        <family val="2"/>
        <charset val="204"/>
        <scheme val="minor"/>
      </rPr>
      <t>вир</t>
    </r>
  </si>
  <si>
    <r>
      <t>В</t>
    </r>
    <r>
      <rPr>
        <vertAlign val="subscript"/>
        <sz val="11"/>
        <rFont val="Calibri"/>
        <family val="2"/>
        <charset val="204"/>
        <scheme val="minor"/>
      </rPr>
      <t>тп</t>
    </r>
  </si>
  <si>
    <r>
      <rPr>
        <vertAlign val="subscript"/>
        <sz val="14"/>
        <rFont val="Calibri"/>
        <family val="2"/>
        <charset val="204"/>
        <scheme val="minor"/>
      </rPr>
      <t>b</t>
    </r>
    <r>
      <rPr>
        <vertAlign val="subscript"/>
        <sz val="12"/>
        <color theme="1"/>
        <rFont val="Calibri"/>
        <family val="2"/>
        <charset val="204"/>
        <scheme val="minor"/>
      </rPr>
      <t>уп і</t>
    </r>
  </si>
  <si>
    <t>Заміна насосу</t>
  </si>
  <si>
    <t>– економія коштів, грн/рік;</t>
  </si>
  <si>
    <t>– потужність вдигуна насосу до заміни, кВт;</t>
  </si>
  <si>
    <t>– зменшення потужності від замінинасосу, кВт;</t>
  </si>
  <si>
    <t>Київська область</t>
  </si>
  <si>
    <t>- регіон*;</t>
  </si>
  <si>
    <t>Година</t>
  </si>
  <si>
    <t xml:space="preserve">Січ. </t>
  </si>
  <si>
    <t xml:space="preserve">Лют. </t>
  </si>
  <si>
    <t xml:space="preserve">Бер. </t>
  </si>
  <si>
    <t xml:space="preserve">Квіт. </t>
  </si>
  <si>
    <t xml:space="preserve">Трав. </t>
  </si>
  <si>
    <t xml:space="preserve">Черв. </t>
  </si>
  <si>
    <t xml:space="preserve">Лип. </t>
  </si>
  <si>
    <t xml:space="preserve">Серп. </t>
  </si>
  <si>
    <t xml:space="preserve">Вер. </t>
  </si>
  <si>
    <t>Жовт.</t>
  </si>
  <si>
    <t xml:space="preserve">Лист. </t>
  </si>
  <si>
    <t>Груд.</t>
  </si>
  <si>
    <r>
      <t>W</t>
    </r>
    <r>
      <rPr>
        <vertAlign val="subscript"/>
        <sz val="11"/>
        <rFont val="Calibri"/>
        <family val="2"/>
        <charset val="204"/>
        <scheme val="minor"/>
      </rPr>
      <t>ЕЛ</t>
    </r>
  </si>
  <si>
    <r>
      <t>- річне споживання електричної енергії на потреби опалення, кВт</t>
    </r>
    <r>
      <rPr>
        <sz val="11"/>
        <color theme="1"/>
        <rFont val="Calibri"/>
        <family val="2"/>
        <charset val="204"/>
      </rPr>
      <t>∙год/рік;</t>
    </r>
  </si>
  <si>
    <t>COP</t>
  </si>
  <si>
    <t>- ефективінсть теплового насосу, в. о.;</t>
  </si>
  <si>
    <r>
      <t>T</t>
    </r>
    <r>
      <rPr>
        <vertAlign val="subscript"/>
        <sz val="11"/>
        <rFont val="Calibri"/>
        <family val="2"/>
        <charset val="204"/>
        <scheme val="minor"/>
      </rPr>
      <t>ЕЛ</t>
    </r>
  </si>
  <si>
    <r>
      <t>- тариф на електричну енергію, грн/кВт</t>
    </r>
    <r>
      <rPr>
        <sz val="11"/>
        <color theme="1"/>
        <rFont val="Calibri"/>
        <family val="2"/>
        <charset val="204"/>
      </rPr>
      <t>∙год;</t>
    </r>
  </si>
  <si>
    <r>
      <t>t</t>
    </r>
    <r>
      <rPr>
        <vertAlign val="subscript"/>
        <sz val="11"/>
        <rFont val="Calibri"/>
        <family val="2"/>
        <charset val="204"/>
        <scheme val="minor"/>
      </rPr>
      <t>ОП</t>
    </r>
  </si>
  <si>
    <t>- тривалість опалювального періоду, год;</t>
  </si>
  <si>
    <r>
      <t>t</t>
    </r>
    <r>
      <rPr>
        <vertAlign val="subscript"/>
        <sz val="11"/>
        <rFont val="Calibri"/>
        <family val="2"/>
        <charset val="204"/>
        <scheme val="minor"/>
      </rPr>
      <t>ОП2</t>
    </r>
  </si>
  <si>
    <r>
      <t>- тривалість опалювального періоду з температурою вище 0</t>
    </r>
    <r>
      <rPr>
        <sz val="11"/>
        <color theme="1"/>
        <rFont val="Calibri"/>
        <family val="2"/>
        <charset val="204"/>
      </rPr>
      <t>˚C</t>
    </r>
    <r>
      <rPr>
        <sz val="11"/>
        <color theme="1"/>
        <rFont val="Calibri"/>
        <family val="2"/>
        <charset val="204"/>
        <scheme val="minor"/>
      </rPr>
      <t>, год;</t>
    </r>
  </si>
  <si>
    <r>
      <t>W</t>
    </r>
    <r>
      <rPr>
        <vertAlign val="subscript"/>
        <sz val="11"/>
        <rFont val="Calibri"/>
        <family val="2"/>
        <charset val="204"/>
        <scheme val="minor"/>
      </rPr>
      <t>ЕЛ2</t>
    </r>
  </si>
  <si>
    <r>
      <t>- річне споживання електричної енергії на потреби опаленняз використанням тепових насосів, кВт</t>
    </r>
    <r>
      <rPr>
        <sz val="11"/>
        <color theme="1"/>
        <rFont val="Calibri"/>
        <family val="2"/>
        <charset val="204"/>
      </rPr>
      <t>∙год/рік;</t>
    </r>
  </si>
  <si>
    <r>
      <t>Е</t>
    </r>
    <r>
      <rPr>
        <vertAlign val="subscript"/>
        <sz val="11"/>
        <rFont val="Calibri"/>
        <family val="2"/>
        <charset val="204"/>
        <scheme val="minor"/>
      </rPr>
      <t>ЕЛ</t>
    </r>
  </si>
  <si>
    <r>
      <t>- економія енергії, кВт</t>
    </r>
    <r>
      <rPr>
        <sz val="11"/>
        <color theme="1"/>
        <rFont val="Calibri"/>
        <family val="2"/>
        <charset val="204"/>
      </rPr>
      <t>∙год/рік;</t>
    </r>
  </si>
  <si>
    <t>*Регіон впливає на кількість діб опалювального періоду. Керуватись даними ДСТУ - Н Б В.1.1-27 Будівельна кліматологія</t>
  </si>
  <si>
    <t>Встановлення теплових насосів типу повітря/повітря</t>
  </si>
  <si>
    <t>– економія коштів після заміни існуючого котла великої потужності, якій працює з недозавантаженням, на новий котел меншої потужності, грн.</t>
  </si>
  <si>
    <t>– економія коштів на відпуск теплової енергії після заміни котла, грн/рік.</t>
  </si>
  <si>
    <t>– економія коштів після заміни газового котла на твердопаливний, грн/рік.</t>
  </si>
  <si>
    <r>
      <t>– нижча теплота згоряння твердого палива, МДж/кг</t>
    </r>
    <r>
      <rPr>
        <sz val="11"/>
        <rFont val="Calibri"/>
        <family val="2"/>
        <charset val="204"/>
      </rPr>
      <t>;</t>
    </r>
  </si>
  <si>
    <r>
      <t>– зменшення електроспоживання від заміни насосу, кВт</t>
    </r>
    <r>
      <rPr>
        <sz val="11"/>
        <color theme="1"/>
        <rFont val="Calibri"/>
        <family val="2"/>
        <charset val="204"/>
      </rPr>
      <t>∙год</t>
    </r>
    <r>
      <rPr>
        <sz val="11"/>
        <color theme="1"/>
        <rFont val="Calibri"/>
        <family val="2"/>
        <charset val="204"/>
        <scheme val="minor"/>
      </rPr>
      <t>;</t>
    </r>
  </si>
  <si>
    <t xml:space="preserve">Використання теплоакумулюючих установок для керування попитом споживання електричної енергії 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</si>
  <si>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ЕЛ1</t>
    </r>
  </si>
  <si>
    <r>
      <t>- існуючий тариф на електричну енергію, грн/кВт</t>
    </r>
    <r>
      <rPr>
        <sz val="11"/>
        <color theme="1"/>
        <rFont val="Calibri"/>
        <family val="2"/>
        <charset val="204"/>
      </rPr>
      <t>∙год;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</si>
  <si>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ЕЛ1</t>
    </r>
  </si>
  <si>
    <r>
      <t>- існуючі обсяги споживання електричної енергії, кВт</t>
    </r>
    <r>
      <rPr>
        <sz val="11"/>
        <color theme="1"/>
        <rFont val="Calibri"/>
        <family val="2"/>
        <charset val="204"/>
      </rPr>
      <t>∙год/рік;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</si>
  <si>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П</t>
    </r>
  </si>
  <si>
    <r>
      <t>- тариф на паливо, грн/м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;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</si>
  <si>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П1</t>
    </r>
  </si>
  <si>
    <r>
      <t>- існуючі обсяги споживання палива, м</t>
    </r>
    <r>
      <rPr>
        <sz val="11"/>
        <color theme="1"/>
        <rFont val="Calibri"/>
        <family val="2"/>
        <charset val="204"/>
        <scheme val="minor"/>
      </rPr>
      <t>³/рік;</t>
    </r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</si>
  <si>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ТЕП</t>
    </r>
  </si>
  <si>
    <t>- існуючі обсяги відпущеної теплової енергії споживачам, Гкал/рік;</t>
  </si>
  <si>
    <r>
      <t>Ч</t>
    </r>
    <r>
      <rPr>
        <vertAlign val="subscript"/>
        <sz val="11"/>
        <rFont val="Calibri"/>
        <family val="2"/>
        <charset val="204"/>
        <scheme val="minor"/>
      </rPr>
      <t>ТАУ</t>
    </r>
  </si>
  <si>
    <t>- перспективна частка заміщення виробленої теплової енергії від теплоакумулюючих установок, %;</t>
  </si>
  <si>
    <r>
      <rPr>
        <sz val="11"/>
        <rFont val="Calibri"/>
        <family val="2"/>
        <charset val="204"/>
      </rPr>
      <t>η</t>
    </r>
    <r>
      <rPr>
        <vertAlign val="subscript"/>
        <sz val="11"/>
        <rFont val="Calibri"/>
        <family val="2"/>
        <charset val="204"/>
        <scheme val="minor"/>
      </rPr>
      <t>ТАУ</t>
    </r>
  </si>
  <si>
    <t>- ефективність перспективної теплоакумулюючої установки, %;</t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</si>
  <si>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ЕЛ2</t>
    </r>
  </si>
  <si>
    <r>
      <t>- перспективнй тариф на електричну енергію, грн/кВт</t>
    </r>
    <r>
      <rPr>
        <sz val="11"/>
        <color theme="1"/>
        <rFont val="Calibri"/>
        <family val="2"/>
        <charset val="204"/>
      </rPr>
      <t>∙год;</t>
    </r>
  </si>
  <si>
    <r>
      <t>В</t>
    </r>
    <r>
      <rPr>
        <vertAlign val="subscript"/>
        <sz val="11"/>
        <rFont val="Calibri"/>
        <family val="2"/>
        <charset val="204"/>
        <scheme val="minor"/>
      </rPr>
      <t>1</t>
    </r>
  </si>
  <si>
    <t>- існуючі витрати на електричну енергію та на паливо, грн/рік;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</si>
  <si>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ЕЛ2</t>
    </r>
  </si>
  <si>
    <r>
      <t>- перспективні обсяги споживання електричної енергії, кВт</t>
    </r>
    <r>
      <rPr>
        <sz val="11"/>
        <color theme="1"/>
        <rFont val="Calibri"/>
        <family val="2"/>
        <charset val="204"/>
      </rPr>
      <t>∙год/рік;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</si>
  <si>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П2</t>
    </r>
  </si>
  <si>
    <r>
      <t>- перспективні обсяги споживання палива, м</t>
    </r>
    <r>
      <rPr>
        <sz val="11"/>
        <color theme="1"/>
        <rFont val="Calibri"/>
        <family val="2"/>
        <charset val="204"/>
        <scheme val="minor"/>
      </rPr>
      <t>³/рік;</t>
    </r>
  </si>
  <si>
    <r>
      <t>В</t>
    </r>
    <r>
      <rPr>
        <vertAlign val="subscript"/>
        <sz val="11"/>
        <rFont val="Calibri"/>
        <family val="2"/>
        <charset val="204"/>
        <scheme val="minor"/>
      </rPr>
      <t>2</t>
    </r>
  </si>
  <si>
    <t>- перспективні витрати на електричну енергію та на паливо, грн/рік;</t>
  </si>
  <si>
    <t>- економія коштів після вирівнювання попиту на електричну енергію, грн/рік;</t>
  </si>
  <si>
    <r>
      <t>Q</t>
    </r>
    <r>
      <rPr>
        <vertAlign val="subscript"/>
        <sz val="12"/>
        <color theme="1"/>
        <rFont val="Calibri"/>
        <family val="2"/>
        <charset val="204"/>
        <scheme val="minor"/>
      </rPr>
      <t>Р</t>
    </r>
  </si>
  <si>
    <t>– встановлена теплова потужність будівлі, Гкал/год;</t>
  </si>
  <si>
    <r>
      <t>Т</t>
    </r>
    <r>
      <rPr>
        <vertAlign val="subscript"/>
        <sz val="12"/>
        <color theme="1"/>
        <rFont val="Calibri"/>
        <family val="2"/>
        <charset val="204"/>
        <scheme val="minor"/>
      </rPr>
      <t>вн</t>
    </r>
  </si>
  <si>
    <t>– внутрішня температура в будівлі, °С;</t>
  </si>
  <si>
    <t>– внутрішня температура в будівлі після впровадження, °С;</t>
  </si>
  <si>
    <t>Кількість днів опалюваного періоду</t>
  </si>
  <si>
    <t>градусо-день</t>
  </si>
  <si>
    <t>Питоме споживання до впровадження, Гкал/ГД</t>
  </si>
  <si>
    <t>Питоме споживання після впровадження, Гкал/ГД</t>
  </si>
  <si>
    <t>КВ</t>
  </si>
  <si>
    <t>– загальні капітальні вкладення, грн;</t>
  </si>
  <si>
    <r>
      <t>Т</t>
    </r>
    <r>
      <rPr>
        <vertAlign val="subscript"/>
        <sz val="12"/>
        <color theme="1"/>
        <rFont val="Calibri"/>
        <family val="2"/>
        <charset val="204"/>
        <scheme val="minor"/>
      </rPr>
      <t>ок</t>
    </r>
  </si>
  <si>
    <t>– простий термін окупності, років.</t>
  </si>
  <si>
    <t>– тариф тепло, грн/Гкал;</t>
  </si>
  <si>
    <t>Зовнішня температура, °С</t>
  </si>
  <si>
    <r>
      <t>– витрата палива в новому котлі, м</t>
    </r>
    <r>
      <rPr>
        <sz val="12"/>
        <color theme="1"/>
        <rFont val="Calibri"/>
        <family val="2"/>
        <charset val="204"/>
      </rPr>
      <t>³/год, або кг/год;</t>
    </r>
  </si>
  <si>
    <r>
      <t>– економія коштів після встановлення економайзеру "сухого" типу, грн</t>
    </r>
    <r>
      <rPr>
        <sz val="12"/>
        <color theme="1"/>
        <rFont val="Calibri"/>
        <family val="2"/>
        <charset val="204"/>
      </rPr>
      <t>/рік;</t>
    </r>
  </si>
  <si>
    <r>
      <t>– економія коштів після встановлення конденсаційного економайзеру, грн</t>
    </r>
    <r>
      <rPr>
        <sz val="12"/>
        <color theme="1"/>
        <rFont val="Calibri"/>
        <family val="2"/>
        <charset val="204"/>
      </rPr>
      <t>/рік.</t>
    </r>
  </si>
  <si>
    <t>– теплова потужність, кВт;</t>
  </si>
  <si>
    <t>– потужність двигуна насосу після заміни, кВт;</t>
  </si>
  <si>
    <t>– економія коштів після встановлення теплового насосу, грн/рік;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</si>
</sst>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₴_-;\-* #,##0.00\ _₴_-;_-* &quot;-&quot;??\ _₴_-;_-@_-"/>
    <numFmt numFmtId="165" formatCode="0.0"/>
    <numFmt numFmtId="166" formatCode="#,##0.0"/>
    <numFmt numFmtId="167" formatCode="#,##0.0000"/>
    <numFmt numFmtId="168" formatCode="_-* #,##0.0\ _₴_-;\-* #,##0.0\ _₴_-;_-* &quot;-&quot;??\ _₴_-;_-@_-"/>
    <numFmt numFmtId="169" formatCode="0.000"/>
    <numFmt numFmtId="170" formatCode="#,##0.000"/>
    <numFmt numFmtId="171" formatCode="mmm\ yyyy"/>
    <numFmt numFmtId="172" formatCode="_-* #,##0.000\ _₴_-;\-* #,##0.000\ _₴_-;_-* &quot;-&quot;??\ _₴_-;_-@_-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vertAlign val="subscript"/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  <scheme val="minor"/>
    </font>
    <font>
      <vertAlign val="subscript"/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vertAlign val="subscript"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9D9D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9" fillId="2" borderId="5" applyNumberFormat="0" applyAlignment="0" applyProtection="0"/>
    <xf numFmtId="0" fontId="8" fillId="3" borderId="6" applyNumberFormat="0" applyFont="0" applyAlignment="0" applyProtection="0"/>
    <xf numFmtId="0" fontId="8" fillId="4" borderId="0" applyNumberFormat="0" applyBorder="0" applyAlignment="0" applyProtection="0"/>
    <xf numFmtId="0" fontId="8" fillId="6" borderId="7" applyNumberFormat="0"/>
    <xf numFmtId="0" fontId="1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8" fillId="4" borderId="0" xfId="3" applyAlignment="1">
      <alignment vertical="center"/>
    </xf>
    <xf numFmtId="0" fontId="8" fillId="4" borderId="0" xfId="3" quotePrefix="1" applyAlignment="1">
      <alignment vertical="center"/>
    </xf>
    <xf numFmtId="0" fontId="1" fillId="7" borderId="0" xfId="0" applyFont="1" applyFill="1" applyAlignment="1">
      <alignment vertical="center"/>
    </xf>
    <xf numFmtId="165" fontId="1" fillId="7" borderId="0" xfId="0" applyNumberFormat="1" applyFont="1" applyFill="1" applyAlignment="1">
      <alignment vertical="center"/>
    </xf>
    <xf numFmtId="165" fontId="1" fillId="5" borderId="0" xfId="0" applyNumberFormat="1" applyFont="1" applyFill="1" applyAlignment="1">
      <alignment vertical="center"/>
    </xf>
    <xf numFmtId="0" fontId="1" fillId="5" borderId="0" xfId="0" applyFont="1" applyFill="1"/>
    <xf numFmtId="0" fontId="1" fillId="7" borderId="0" xfId="0" applyFont="1" applyFill="1"/>
    <xf numFmtId="0" fontId="0" fillId="0" borderId="0" xfId="0" applyAlignment="1">
      <alignment vertical="center"/>
    </xf>
    <xf numFmtId="0" fontId="1" fillId="7" borderId="0" xfId="2" applyFont="1" applyFill="1" applyBorder="1" applyAlignment="1">
      <alignment horizontal="center" vertical="center"/>
    </xf>
    <xf numFmtId="3" fontId="1" fillId="7" borderId="0" xfId="4" applyNumberFormat="1" applyFont="1" applyFill="1" applyBorder="1" applyAlignment="1">
      <alignment horizontal="center" vertical="center"/>
    </xf>
    <xf numFmtId="0" fontId="1" fillId="7" borderId="0" xfId="2" applyFont="1" applyFill="1" applyBorder="1" applyAlignment="1">
      <alignment vertical="center"/>
    </xf>
    <xf numFmtId="0" fontId="1" fillId="7" borderId="0" xfId="0" applyFont="1" applyFill="1" applyBorder="1"/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3" fontId="1" fillId="5" borderId="0" xfId="0" applyNumberFormat="1" applyFont="1" applyFill="1"/>
    <xf numFmtId="0" fontId="11" fillId="8" borderId="0" xfId="0" applyFont="1" applyFill="1" applyAlignment="1">
      <alignment horizontal="left" vertical="center"/>
    </xf>
    <xf numFmtId="0" fontId="0" fillId="4" borderId="0" xfId="3" applyFont="1" applyAlignment="1">
      <alignment vertical="center"/>
    </xf>
    <xf numFmtId="0" fontId="0" fillId="0" borderId="9" xfId="2" applyFont="1" applyFill="1" applyBorder="1" applyAlignment="1">
      <alignment horizontal="center" vertical="center"/>
    </xf>
    <xf numFmtId="0" fontId="0" fillId="0" borderId="8" xfId="2" quotePrefix="1" applyFont="1" applyFill="1" applyBorder="1" applyAlignment="1">
      <alignment vertical="center"/>
    </xf>
    <xf numFmtId="0" fontId="12" fillId="0" borderId="9" xfId="2" applyFont="1" applyFill="1" applyBorder="1" applyAlignment="1">
      <alignment horizontal="center" vertical="center"/>
    </xf>
    <xf numFmtId="0" fontId="0" fillId="0" borderId="8" xfId="2" applyFont="1" applyFill="1" applyBorder="1" applyAlignment="1">
      <alignment vertical="center"/>
    </xf>
    <xf numFmtId="0" fontId="13" fillId="0" borderId="9" xfId="2" applyFont="1" applyFill="1" applyBorder="1" applyAlignment="1">
      <alignment horizontal="center" vertical="center"/>
    </xf>
    <xf numFmtId="0" fontId="0" fillId="4" borderId="0" xfId="3" applyFont="1" applyAlignment="1">
      <alignment horizontal="center" vertical="center"/>
    </xf>
    <xf numFmtId="0" fontId="0" fillId="4" borderId="0" xfId="3" applyFont="1" applyAlignment="1">
      <alignment horizontal="right" vertical="center"/>
    </xf>
    <xf numFmtId="0" fontId="0" fillId="0" borderId="6" xfId="2" applyFont="1" applyFill="1" applyAlignment="1">
      <alignment horizontal="center" vertical="center"/>
    </xf>
    <xf numFmtId="0" fontId="0" fillId="0" borderId="6" xfId="2" applyFont="1" applyFill="1" applyAlignment="1">
      <alignment vertical="center"/>
    </xf>
    <xf numFmtId="0" fontId="12" fillId="0" borderId="6" xfId="2" applyFont="1" applyFill="1" applyAlignment="1">
      <alignment horizontal="center" vertical="center"/>
    </xf>
    <xf numFmtId="0" fontId="15" fillId="4" borderId="0" xfId="3" applyFont="1" applyAlignment="1">
      <alignment vertical="center"/>
    </xf>
    <xf numFmtId="0" fontId="14" fillId="8" borderId="0" xfId="0" applyFont="1" applyFill="1" applyAlignment="1">
      <alignment horizontal="left" vertical="center"/>
    </xf>
    <xf numFmtId="0" fontId="15" fillId="0" borderId="6" xfId="2" applyFont="1" applyFill="1" applyAlignment="1">
      <alignment horizontal="center" vertical="center"/>
    </xf>
    <xf numFmtId="0" fontId="15" fillId="0" borderId="6" xfId="2" applyFont="1" applyFill="1" applyAlignment="1">
      <alignment vertical="center"/>
    </xf>
    <xf numFmtId="0" fontId="17" fillId="0" borderId="6" xfId="2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0" fontId="15" fillId="0" borderId="9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vertical="center"/>
    </xf>
    <xf numFmtId="0" fontId="15" fillId="11" borderId="11" xfId="4" applyFont="1" applyFill="1" applyBorder="1" applyAlignment="1">
      <alignment horizontal="left"/>
    </xf>
    <xf numFmtId="0" fontId="15" fillId="11" borderId="12" xfId="4" applyFont="1" applyFill="1" applyBorder="1" applyAlignment="1">
      <alignment horizontal="left"/>
    </xf>
    <xf numFmtId="3" fontId="15" fillId="11" borderId="12" xfId="4" applyNumberFormat="1" applyFont="1" applyFill="1" applyBorder="1" applyAlignment="1">
      <alignment horizontal="left"/>
    </xf>
    <xf numFmtId="0" fontId="0" fillId="9" borderId="11" xfId="4" applyFont="1" applyFill="1" applyBorder="1" applyAlignment="1">
      <alignment horizontal="left"/>
    </xf>
    <xf numFmtId="0" fontId="0" fillId="9" borderId="12" xfId="4" applyFont="1" applyFill="1" applyBorder="1" applyAlignment="1">
      <alignment horizontal="left"/>
    </xf>
    <xf numFmtId="3" fontId="0" fillId="9" borderId="12" xfId="4" applyNumberFormat="1" applyFont="1" applyFill="1" applyBorder="1" applyAlignment="1">
      <alignment horizontal="left"/>
    </xf>
    <xf numFmtId="165" fontId="20" fillId="9" borderId="13" xfId="1" applyNumberFormat="1" applyFont="1" applyFill="1" applyBorder="1" applyAlignment="1">
      <alignment horizontal="left" vertical="center"/>
    </xf>
    <xf numFmtId="3" fontId="20" fillId="9" borderId="14" xfId="1" applyNumberFormat="1" applyFont="1" applyFill="1" applyBorder="1" applyAlignment="1">
      <alignment horizontal="left" vertical="center"/>
    </xf>
    <xf numFmtId="0" fontId="15" fillId="9" borderId="11" xfId="4" applyFont="1" applyFill="1" applyBorder="1" applyAlignment="1">
      <alignment horizontal="left"/>
    </xf>
    <xf numFmtId="0" fontId="15" fillId="9" borderId="12" xfId="4" applyFont="1" applyFill="1" applyBorder="1" applyAlignment="1">
      <alignment horizontal="left"/>
    </xf>
    <xf numFmtId="3" fontId="15" fillId="9" borderId="11" xfId="4" applyNumberFormat="1" applyFont="1" applyFill="1" applyBorder="1" applyAlignment="1">
      <alignment horizontal="left"/>
    </xf>
    <xf numFmtId="3" fontId="15" fillId="9" borderId="12" xfId="4" applyNumberFormat="1" applyFont="1" applyFill="1" applyBorder="1" applyAlignment="1">
      <alignment horizontal="left"/>
    </xf>
    <xf numFmtId="3" fontId="20" fillId="9" borderId="12" xfId="4" applyNumberFormat="1" applyFont="1" applyFill="1" applyBorder="1" applyAlignment="1">
      <alignment horizontal="left"/>
    </xf>
    <xf numFmtId="4" fontId="20" fillId="9" borderId="11" xfId="4" applyNumberFormat="1" applyFont="1" applyFill="1" applyBorder="1" applyAlignment="1">
      <alignment horizontal="left"/>
    </xf>
    <xf numFmtId="166" fontId="20" fillId="9" borderId="14" xfId="1" applyNumberFormat="1" applyFont="1" applyFill="1" applyBorder="1" applyAlignment="1">
      <alignment horizontal="left" vertical="center"/>
    </xf>
    <xf numFmtId="4" fontId="20" fillId="9" borderId="14" xfId="1" applyNumberFormat="1" applyFont="1" applyFill="1" applyBorder="1" applyAlignment="1">
      <alignment horizontal="left" vertical="center"/>
    </xf>
    <xf numFmtId="2" fontId="20" fillId="9" borderId="14" xfId="1" applyNumberFormat="1" applyFont="1" applyFill="1" applyBorder="1" applyAlignment="1">
      <alignment horizontal="left" vertical="center"/>
    </xf>
    <xf numFmtId="1" fontId="20" fillId="9" borderId="14" xfId="1" applyNumberFormat="1" applyFont="1" applyFill="1" applyBorder="1" applyAlignment="1">
      <alignment horizontal="left" vertical="center"/>
    </xf>
    <xf numFmtId="0" fontId="15" fillId="9" borderId="15" xfId="4" applyFont="1" applyFill="1" applyBorder="1" applyAlignment="1">
      <alignment horizontal="left"/>
    </xf>
    <xf numFmtId="3" fontId="15" fillId="9" borderId="16" xfId="4" applyNumberFormat="1" applyFont="1" applyFill="1" applyBorder="1" applyAlignment="1">
      <alignment horizontal="left"/>
    </xf>
    <xf numFmtId="166" fontId="15" fillId="9" borderId="12" xfId="4" applyNumberFormat="1" applyFont="1" applyFill="1" applyBorder="1" applyAlignment="1">
      <alignment horizontal="left"/>
    </xf>
    <xf numFmtId="4" fontId="15" fillId="9" borderId="12" xfId="4" applyNumberFormat="1" applyFont="1" applyFill="1" applyBorder="1" applyAlignment="1">
      <alignment horizontal="left"/>
    </xf>
    <xf numFmtId="4" fontId="20" fillId="9" borderId="13" xfId="1" applyNumberFormat="1" applyFont="1" applyFill="1" applyBorder="1" applyAlignment="1">
      <alignment horizontal="left" vertical="center"/>
    </xf>
    <xf numFmtId="165" fontId="15" fillId="9" borderId="14" xfId="1" applyNumberFormat="1" applyFont="1" applyFill="1" applyBorder="1" applyAlignment="1">
      <alignment horizontal="left" vertical="center"/>
    </xf>
    <xf numFmtId="3" fontId="15" fillId="9" borderId="14" xfId="1" applyNumberFormat="1" applyFont="1" applyFill="1" applyBorder="1" applyAlignment="1">
      <alignment horizontal="left" vertical="center"/>
    </xf>
    <xf numFmtId="166" fontId="15" fillId="9" borderId="14" xfId="1" applyNumberFormat="1" applyFont="1" applyFill="1" applyBorder="1" applyAlignment="1">
      <alignment horizontal="left" vertical="center"/>
    </xf>
    <xf numFmtId="4" fontId="0" fillId="9" borderId="12" xfId="4" applyNumberFormat="1" applyFont="1" applyFill="1" applyBorder="1" applyAlignment="1">
      <alignment horizontal="left"/>
    </xf>
    <xf numFmtId="2" fontId="0" fillId="9" borderId="12" xfId="4" applyNumberFormat="1" applyFont="1" applyFill="1" applyBorder="1" applyAlignment="1">
      <alignment horizontal="left"/>
    </xf>
    <xf numFmtId="167" fontId="20" fillId="9" borderId="14" xfId="1" applyNumberFormat="1" applyFont="1" applyFill="1" applyBorder="1" applyAlignment="1">
      <alignment horizontal="left" vertical="center"/>
    </xf>
    <xf numFmtId="0" fontId="0" fillId="10" borderId="6" xfId="2" applyFont="1" applyFill="1" applyAlignment="1">
      <alignment horizontal="center" vertical="center"/>
    </xf>
    <xf numFmtId="0" fontId="0" fillId="10" borderId="6" xfId="2" applyFont="1" applyFill="1" applyAlignment="1">
      <alignment vertical="center"/>
    </xf>
    <xf numFmtId="0" fontId="0" fillId="10" borderId="17" xfId="2" applyFont="1" applyFill="1" applyBorder="1" applyAlignment="1">
      <alignment horizontal="center" vertical="center"/>
    </xf>
    <xf numFmtId="3" fontId="22" fillId="9" borderId="12" xfId="4" applyNumberFormat="1" applyFont="1" applyFill="1" applyBorder="1" applyAlignment="1">
      <alignment horizontal="left"/>
    </xf>
    <xf numFmtId="3" fontId="20" fillId="12" borderId="13" xfId="1" applyNumberFormat="1" applyFont="1" applyFill="1" applyBorder="1" applyAlignment="1">
      <alignment horizontal="left" vertical="center"/>
    </xf>
    <xf numFmtId="3" fontId="20" fillId="12" borderId="14" xfId="1" applyNumberFormat="1" applyFont="1" applyFill="1" applyBorder="1" applyAlignment="1">
      <alignment horizontal="left" vertical="center"/>
    </xf>
    <xf numFmtId="0" fontId="20" fillId="12" borderId="14" xfId="1" applyFont="1" applyFill="1" applyBorder="1" applyAlignment="1">
      <alignment horizontal="left" vertical="center"/>
    </xf>
    <xf numFmtId="168" fontId="15" fillId="11" borderId="11" xfId="6" applyNumberFormat="1" applyFont="1" applyFill="1" applyBorder="1" applyAlignment="1">
      <alignment horizontal="left"/>
    </xf>
    <xf numFmtId="49" fontId="15" fillId="0" borderId="8" xfId="2" applyNumberFormat="1" applyFont="1" applyFill="1" applyBorder="1" applyAlignment="1">
      <alignment vertical="center"/>
    </xf>
    <xf numFmtId="0" fontId="23" fillId="1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164" fontId="15" fillId="11" borderId="11" xfId="6" applyFont="1" applyFill="1" applyBorder="1" applyAlignment="1">
      <alignment horizontal="left"/>
    </xf>
    <xf numFmtId="168" fontId="14" fillId="11" borderId="11" xfId="6" applyNumberFormat="1" applyFont="1" applyFill="1" applyBorder="1" applyAlignment="1">
      <alignment horizontal="left"/>
    </xf>
    <xf numFmtId="49" fontId="25" fillId="4" borderId="0" xfId="3" applyNumberFormat="1" applyFont="1" applyAlignment="1">
      <alignment vertical="center"/>
    </xf>
    <xf numFmtId="169" fontId="0" fillId="0" borderId="0" xfId="0" applyNumberFormat="1"/>
    <xf numFmtId="166" fontId="20" fillId="9" borderId="12" xfId="4" applyNumberFormat="1" applyFont="1" applyFill="1" applyBorder="1" applyAlignment="1">
      <alignment horizontal="left"/>
    </xf>
    <xf numFmtId="168" fontId="15" fillId="11" borderId="12" xfId="7" applyNumberFormat="1" applyFont="1" applyFill="1" applyBorder="1" applyAlignment="1">
      <alignment horizontal="left"/>
    </xf>
    <xf numFmtId="0" fontId="15" fillId="0" borderId="8" xfId="2" quotePrefix="1" applyFont="1" applyFill="1" applyBorder="1" applyAlignment="1">
      <alignment vertical="center"/>
    </xf>
    <xf numFmtId="168" fontId="14" fillId="11" borderId="12" xfId="7" applyNumberFormat="1" applyFont="1" applyFill="1" applyBorder="1" applyAlignment="1">
      <alignment horizontal="left"/>
    </xf>
    <xf numFmtId="170" fontId="20" fillId="9" borderId="14" xfId="1" applyNumberFormat="1" applyFont="1" applyFill="1" applyBorder="1" applyAlignment="1">
      <alignment horizontal="left" vertical="center"/>
    </xf>
    <xf numFmtId="165" fontId="20" fillId="9" borderId="14" xfId="1" applyNumberFormat="1" applyFont="1" applyFill="1" applyBorder="1" applyAlignment="1">
      <alignment horizontal="left" vertical="center"/>
    </xf>
    <xf numFmtId="2" fontId="1" fillId="5" borderId="0" xfId="0" applyNumberFormat="1" applyFont="1" applyFill="1"/>
    <xf numFmtId="0" fontId="1" fillId="8" borderId="0" xfId="0" applyFont="1" applyFill="1"/>
    <xf numFmtId="0" fontId="0" fillId="7" borderId="0" xfId="0" applyFont="1" applyFill="1" applyAlignment="1">
      <alignment vertical="center"/>
    </xf>
    <xf numFmtId="0" fontId="28" fillId="8" borderId="0" xfId="8" applyFont="1" applyFill="1" applyAlignment="1">
      <alignment vertical="center"/>
    </xf>
    <xf numFmtId="0" fontId="29" fillId="8" borderId="0" xfId="0" applyFont="1" applyFill="1"/>
    <xf numFmtId="0" fontId="28" fillId="8" borderId="0" xfId="0" applyFont="1" applyFill="1"/>
    <xf numFmtId="171" fontId="1" fillId="0" borderId="9" xfId="2" applyNumberFormat="1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vertical="center"/>
    </xf>
    <xf numFmtId="2" fontId="20" fillId="2" borderId="7" xfId="1" applyNumberFormat="1" applyFont="1" applyBorder="1" applyAlignment="1">
      <alignment horizontal="right" vertical="center"/>
    </xf>
    <xf numFmtId="3" fontId="20" fillId="2" borderId="7" xfId="1" applyNumberFormat="1" applyFont="1" applyBorder="1" applyAlignment="1">
      <alignment horizontal="right" vertical="center"/>
    </xf>
    <xf numFmtId="166" fontId="20" fillId="2" borderId="7" xfId="1" applyNumberFormat="1" applyFont="1" applyBorder="1" applyAlignment="1">
      <alignment horizontal="right" vertical="center"/>
    </xf>
    <xf numFmtId="0" fontId="28" fillId="8" borderId="0" xfId="0" applyFont="1" applyFill="1" applyAlignment="1">
      <alignment horizontal="left" vertical="center" wrapText="1"/>
    </xf>
    <xf numFmtId="172" fontId="14" fillId="11" borderId="11" xfId="6" applyNumberFormat="1" applyFont="1" applyFill="1" applyBorder="1" applyAlignment="1">
      <alignment horizontal="left"/>
    </xf>
    <xf numFmtId="0" fontId="11" fillId="8" borderId="0" xfId="0" applyFont="1" applyFill="1" applyAlignment="1">
      <alignment horizontal="center" vertical="center"/>
    </xf>
    <xf numFmtId="49" fontId="15" fillId="0" borderId="18" xfId="2" applyNumberFormat="1" applyFont="1" applyFill="1" applyBorder="1" applyAlignment="1">
      <alignment vertical="center"/>
    </xf>
    <xf numFmtId="49" fontId="15" fillId="0" borderId="10" xfId="2" applyNumberFormat="1" applyFont="1" applyFill="1" applyBorder="1" applyAlignment="1">
      <alignment vertical="center"/>
    </xf>
    <xf numFmtId="49" fontId="15" fillId="0" borderId="8" xfId="2" applyNumberFormat="1" applyFont="1" applyFill="1" applyBorder="1" applyAlignment="1">
      <alignment vertical="center"/>
    </xf>
    <xf numFmtId="0" fontId="1" fillId="0" borderId="8" xfId="2" applyFont="1" applyFill="1" applyBorder="1" applyAlignment="1">
      <alignment vertical="center"/>
    </xf>
    <xf numFmtId="0" fontId="1" fillId="0" borderId="6" xfId="2" applyFont="1" applyFill="1" applyAlignment="1">
      <alignment vertical="center"/>
    </xf>
    <xf numFmtId="0" fontId="11" fillId="8" borderId="0" xfId="0" applyFont="1" applyFill="1" applyAlignment="1">
      <alignment horizontal="left" vertical="center"/>
    </xf>
  </cellXfs>
  <cellStyles count="9">
    <cellStyle name="20% - Accent3" xfId="3" builtinId="38"/>
    <cellStyle name="Calculation" xfId="1" builtinId="22"/>
    <cellStyle name="Comma" xfId="7" builtinId="3"/>
    <cellStyle name="Normal" xfId="0" builtinId="0"/>
    <cellStyle name="Note" xfId="2" builtinId="10"/>
    <cellStyle name="Title" xfId="8" builtinId="15"/>
    <cellStyle name="Ввод" xfId="4" xr:uid="{00000000-0005-0000-0000-000001000000}"/>
    <cellStyle name="Обычный 2" xfId="5" xr:uid="{00000000-0005-0000-0000-000005000000}"/>
    <cellStyle name="Фінансовий 2" xfId="6" xr:uid="{00000000-0005-0000-0000-000008000000}"/>
  </cellStyles>
  <dxfs count="0"/>
  <tableStyles count="0" defaultTableStyle="TableStyleMedium2" defaultPivotStyle="PivotStyleLight16"/>
  <colors>
    <mruColors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view="pageBreakPreview" zoomScaleNormal="100" zoomScaleSheetLayoutView="100" workbookViewId="0">
      <selection activeCell="C9" sqref="C9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32.25" customHeight="1" x14ac:dyDescent="0.35">
      <c r="A2" s="6"/>
      <c r="B2" s="108" t="s">
        <v>9</v>
      </c>
      <c r="C2" s="108"/>
      <c r="D2" s="108"/>
      <c r="E2" s="6"/>
    </row>
    <row r="3" spans="1:5" ht="18.75" customHeight="1" x14ac:dyDescent="0.35">
      <c r="A3" s="6"/>
      <c r="B3" s="33"/>
      <c r="C3" s="33"/>
      <c r="D3" s="33"/>
      <c r="E3" s="6"/>
    </row>
    <row r="4" spans="1:5" ht="18.75" customHeight="1" thickBot="1" x14ac:dyDescent="0.4">
      <c r="A4" s="6"/>
      <c r="B4" s="21" t="s">
        <v>182</v>
      </c>
      <c r="C4" s="34"/>
      <c r="D4" s="34"/>
      <c r="E4" s="6"/>
    </row>
    <row r="5" spans="1:5" ht="18.75" customHeight="1" x14ac:dyDescent="0.35">
      <c r="A5" s="6"/>
      <c r="B5" s="40" t="s">
        <v>215</v>
      </c>
      <c r="C5" s="44">
        <v>500</v>
      </c>
      <c r="D5" s="43" t="s">
        <v>22</v>
      </c>
      <c r="E5" s="6"/>
    </row>
    <row r="6" spans="1:5" ht="18.75" customHeight="1" x14ac:dyDescent="0.35">
      <c r="A6" s="6"/>
      <c r="B6" s="40" t="s">
        <v>216</v>
      </c>
      <c r="C6" s="45">
        <v>209</v>
      </c>
      <c r="D6" s="43" t="s">
        <v>217</v>
      </c>
      <c r="E6" s="6"/>
    </row>
    <row r="7" spans="1:5" ht="18.75" customHeight="1" x14ac:dyDescent="0.35">
      <c r="A7" s="6"/>
      <c r="B7" s="40" t="s">
        <v>218</v>
      </c>
      <c r="C7" s="45">
        <v>33.799999999999997</v>
      </c>
      <c r="D7" s="43" t="s">
        <v>219</v>
      </c>
      <c r="E7" s="6"/>
    </row>
    <row r="8" spans="1:5" ht="18.75" customHeight="1" x14ac:dyDescent="0.35">
      <c r="A8" s="6"/>
      <c r="B8" s="41" t="s">
        <v>220</v>
      </c>
      <c r="C8" s="45">
        <v>0.86</v>
      </c>
      <c r="D8" s="43" t="s">
        <v>18</v>
      </c>
      <c r="E8" s="6"/>
    </row>
    <row r="9" spans="1:5" ht="18.75" customHeight="1" x14ac:dyDescent="0.35">
      <c r="A9" s="6"/>
      <c r="B9" s="40" t="s">
        <v>221</v>
      </c>
      <c r="C9" s="45">
        <v>17</v>
      </c>
      <c r="D9" s="43" t="s">
        <v>269</v>
      </c>
      <c r="E9" s="6"/>
    </row>
    <row r="10" spans="1:5" ht="18.75" customHeight="1" x14ac:dyDescent="0.35">
      <c r="A10" s="6"/>
      <c r="B10" s="41" t="s">
        <v>222</v>
      </c>
      <c r="C10" s="45">
        <v>0.87</v>
      </c>
      <c r="D10" s="43" t="s">
        <v>24</v>
      </c>
      <c r="E10" s="6"/>
    </row>
    <row r="11" spans="1:5" ht="18.75" customHeight="1" x14ac:dyDescent="0.35">
      <c r="A11" s="6"/>
      <c r="B11" s="40" t="s">
        <v>223</v>
      </c>
      <c r="C11" s="46">
        <v>4200</v>
      </c>
      <c r="D11" s="43" t="s">
        <v>25</v>
      </c>
      <c r="E11" s="6"/>
    </row>
    <row r="12" spans="1:5" ht="18.75" customHeight="1" x14ac:dyDescent="0.35">
      <c r="A12" s="6"/>
      <c r="B12" s="40" t="s">
        <v>224</v>
      </c>
      <c r="C12" s="45">
        <v>7.33</v>
      </c>
      <c r="D12" s="43" t="s">
        <v>225</v>
      </c>
      <c r="E12" s="6"/>
    </row>
    <row r="13" spans="1:5" ht="18.75" customHeight="1" x14ac:dyDescent="0.35">
      <c r="A13" s="6"/>
      <c r="B13" s="40" t="s">
        <v>226</v>
      </c>
      <c r="C13" s="46">
        <v>3000</v>
      </c>
      <c r="D13" s="43" t="s">
        <v>26</v>
      </c>
      <c r="E13" s="6"/>
    </row>
    <row r="14" spans="1:5" ht="18.75" customHeight="1" x14ac:dyDescent="0.35">
      <c r="A14" s="6"/>
      <c r="B14" s="33"/>
      <c r="C14" s="33"/>
      <c r="D14" s="33"/>
      <c r="E14" s="6"/>
    </row>
    <row r="15" spans="1:5" ht="18.75" customHeight="1" thickBot="1" x14ac:dyDescent="0.4">
      <c r="A15" s="6"/>
      <c r="B15" s="21" t="s">
        <v>183</v>
      </c>
      <c r="C15" s="34"/>
      <c r="D15" s="34"/>
      <c r="E15" s="6"/>
    </row>
    <row r="16" spans="1:5" ht="18.75" customHeight="1" x14ac:dyDescent="0.35">
      <c r="A16" s="6"/>
      <c r="B16" s="40" t="s">
        <v>227</v>
      </c>
      <c r="C16" s="77">
        <f>C6*C7*C8</f>
        <v>6075.2119999999995</v>
      </c>
      <c r="D16" s="43" t="s">
        <v>19</v>
      </c>
      <c r="E16" s="6"/>
    </row>
    <row r="17" spans="1:5" ht="18.75" customHeight="1" x14ac:dyDescent="0.35">
      <c r="A17" s="6"/>
      <c r="B17" s="40" t="s">
        <v>228</v>
      </c>
      <c r="C17" s="78">
        <f>C16/C8</f>
        <v>7064.2</v>
      </c>
      <c r="D17" s="43" t="s">
        <v>21</v>
      </c>
      <c r="E17" s="6"/>
    </row>
    <row r="18" spans="1:5" ht="18.75" customHeight="1" x14ac:dyDescent="0.35">
      <c r="A18" s="6"/>
      <c r="B18" s="40" t="s">
        <v>20</v>
      </c>
      <c r="C18" s="79">
        <f>ROUNDUP(C17/3.6/C5,0)</f>
        <v>4</v>
      </c>
      <c r="D18" s="43" t="s">
        <v>23</v>
      </c>
      <c r="E18" s="6"/>
    </row>
    <row r="19" spans="1:5" ht="18.75" customHeight="1" x14ac:dyDescent="0.35">
      <c r="A19" s="6"/>
      <c r="B19" s="40" t="s">
        <v>229</v>
      </c>
      <c r="C19" s="78">
        <f>ROUND(C17/C9/C10,0)</f>
        <v>478</v>
      </c>
      <c r="D19" s="43" t="s">
        <v>27</v>
      </c>
      <c r="E19" s="6"/>
    </row>
    <row r="20" spans="1:5" ht="18.75" customHeight="1" x14ac:dyDescent="0.35">
      <c r="A20" s="6"/>
      <c r="B20" s="40" t="s">
        <v>2</v>
      </c>
      <c r="C20" s="78">
        <f>(C6*C12-C19*C13/1000)*C11</f>
        <v>411474.00000000012</v>
      </c>
      <c r="D20" s="43" t="s">
        <v>268</v>
      </c>
      <c r="E20" s="6"/>
    </row>
    <row r="21" spans="1:5" ht="18.75" customHeight="1" x14ac:dyDescent="0.35">
      <c r="A21" s="6"/>
      <c r="B21" s="6"/>
      <c r="C21" s="6"/>
      <c r="D21" s="6"/>
      <c r="E21" s="6"/>
    </row>
    <row r="25" spans="1:5" ht="18.75" customHeight="1" x14ac:dyDescent="0.35">
      <c r="C25" s="21"/>
    </row>
  </sheetData>
  <mergeCells count="1">
    <mergeCell ref="B2:D2"/>
  </mergeCells>
  <pageMargins left="0.7" right="0.7" top="0.75" bottom="0.75" header="0.3" footer="0.3"/>
  <pageSetup paperSize="9" scale="4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B27"/>
  <sheetViews>
    <sheetView view="pageBreakPreview" zoomScaleNormal="100" zoomScaleSheetLayoutView="100" workbookViewId="0">
      <selection activeCell="N33" sqref="N33"/>
    </sheetView>
  </sheetViews>
  <sheetFormatPr defaultColWidth="9.08984375" defaultRowHeight="18.75" customHeight="1" x14ac:dyDescent="0.35"/>
  <cols>
    <col min="1" max="1" width="4.36328125" style="11" customWidth="1"/>
    <col min="2" max="2" width="12.90625" style="11" customWidth="1"/>
    <col min="3" max="5" width="16.08984375" style="11" customWidth="1"/>
    <col min="6" max="6" width="19.6328125" style="11" bestFit="1" customWidth="1"/>
    <col min="7" max="7" width="20.453125" style="11" bestFit="1" customWidth="1"/>
    <col min="8" max="9" width="21.453125" style="11" bestFit="1" customWidth="1"/>
    <col min="10" max="11" width="9.08984375" style="11"/>
    <col min="12" max="12" width="4.36328125" style="11" customWidth="1"/>
    <col min="13" max="16384" width="9.08984375" style="11"/>
  </cols>
  <sheetData>
    <row r="1" spans="1:54" ht="18.75" customHeight="1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54" ht="23.25" customHeight="1" x14ac:dyDescent="0.35">
      <c r="A2" s="12"/>
      <c r="B2" s="96"/>
      <c r="C2" s="98" t="s">
        <v>203</v>
      </c>
      <c r="D2" s="96"/>
      <c r="E2" s="96"/>
      <c r="F2" s="96"/>
      <c r="G2" s="96"/>
      <c r="H2" s="96"/>
      <c r="I2" s="96"/>
      <c r="J2" s="96"/>
      <c r="K2" s="96"/>
      <c r="L2" s="12"/>
    </row>
    <row r="3" spans="1:54" ht="18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54" ht="18.75" customHeight="1" thickBot="1" x14ac:dyDescent="0.4">
      <c r="A4" s="12"/>
      <c r="B4" s="100" t="s">
        <v>182</v>
      </c>
      <c r="C4" s="99"/>
      <c r="D4" s="99"/>
      <c r="E4" s="99"/>
      <c r="F4" s="99"/>
      <c r="G4" s="99"/>
      <c r="H4" s="99"/>
      <c r="I4" s="99"/>
      <c r="J4" s="99"/>
      <c r="K4" s="99"/>
      <c r="L4" s="12"/>
    </row>
    <row r="5" spans="1:54" ht="18.75" customHeight="1" thickBot="1" x14ac:dyDescent="0.4">
      <c r="A5" s="12"/>
      <c r="B5" s="43" t="s">
        <v>297</v>
      </c>
      <c r="C5" s="80">
        <v>0.4</v>
      </c>
      <c r="D5" s="109" t="s">
        <v>298</v>
      </c>
      <c r="E5" s="110"/>
      <c r="F5" s="110"/>
      <c r="G5" s="110"/>
      <c r="H5" s="110"/>
      <c r="I5" s="110"/>
      <c r="J5" s="110"/>
      <c r="K5" s="111"/>
      <c r="L5" s="12"/>
    </row>
    <row r="6" spans="1:54" ht="18.75" customHeight="1" thickBot="1" x14ac:dyDescent="0.4">
      <c r="A6" s="12"/>
      <c r="B6" s="43" t="s">
        <v>299</v>
      </c>
      <c r="C6" s="80">
        <v>22</v>
      </c>
      <c r="D6" s="109" t="s">
        <v>300</v>
      </c>
      <c r="E6" s="110"/>
      <c r="F6" s="110"/>
      <c r="G6" s="110"/>
      <c r="H6" s="110"/>
      <c r="I6" s="110"/>
      <c r="J6" s="110"/>
      <c r="K6" s="111"/>
      <c r="L6" s="12"/>
    </row>
    <row r="7" spans="1:54" ht="18.75" customHeight="1" thickBot="1" x14ac:dyDescent="0.4">
      <c r="A7" s="12"/>
      <c r="B7" s="43" t="s">
        <v>299</v>
      </c>
      <c r="C7" s="80">
        <v>20</v>
      </c>
      <c r="D7" s="109" t="s">
        <v>301</v>
      </c>
      <c r="E7" s="110"/>
      <c r="F7" s="110"/>
      <c r="G7" s="110"/>
      <c r="H7" s="110"/>
      <c r="I7" s="110"/>
      <c r="J7" s="110"/>
      <c r="K7" s="111"/>
      <c r="L7" s="12"/>
    </row>
    <row r="8" spans="1:54" ht="18.75" customHeight="1" x14ac:dyDescent="0.35">
      <c r="A8" s="12"/>
      <c r="B8" s="43" t="s">
        <v>207</v>
      </c>
      <c r="C8" s="85">
        <v>1654.41</v>
      </c>
      <c r="D8" s="109" t="s">
        <v>310</v>
      </c>
      <c r="E8" s="110"/>
      <c r="F8" s="110"/>
      <c r="G8" s="110"/>
      <c r="H8" s="110"/>
      <c r="I8" s="110"/>
      <c r="J8" s="110"/>
      <c r="K8" s="111"/>
      <c r="L8" s="12"/>
    </row>
    <row r="9" spans="1:54" ht="18.75" customHeight="1" x14ac:dyDescent="0.35">
      <c r="A9" s="12"/>
      <c r="B9" s="14"/>
      <c r="C9" s="15"/>
      <c r="D9" s="16"/>
      <c r="E9" s="17"/>
      <c r="F9" s="12"/>
      <c r="G9" s="12"/>
      <c r="H9" s="12"/>
      <c r="I9" s="12"/>
      <c r="J9" s="12"/>
      <c r="K9" s="12"/>
      <c r="L9" s="12"/>
    </row>
    <row r="10" spans="1:54" s="13" customFormat="1" ht="47.25" customHeight="1" thickBot="1" x14ac:dyDescent="0.4">
      <c r="A10" s="18"/>
      <c r="B10" s="106" t="s">
        <v>204</v>
      </c>
      <c r="C10" s="106" t="s">
        <v>302</v>
      </c>
      <c r="D10" s="106" t="s">
        <v>205</v>
      </c>
      <c r="E10" s="106" t="s">
        <v>311</v>
      </c>
      <c r="F10" s="106" t="s">
        <v>303</v>
      </c>
      <c r="G10" s="106" t="s">
        <v>304</v>
      </c>
      <c r="H10" s="106" t="s">
        <v>305</v>
      </c>
      <c r="I10" s="106" t="s">
        <v>206</v>
      </c>
      <c r="J10" s="97"/>
      <c r="K10" s="97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54" s="13" customFormat="1" ht="18.75" customHeight="1" thickBot="1" x14ac:dyDescent="0.4">
      <c r="A11" s="18"/>
      <c r="B11" s="101">
        <v>43405</v>
      </c>
      <c r="C11" s="80">
        <v>30</v>
      </c>
      <c r="D11" s="80">
        <v>117.90800000000002</v>
      </c>
      <c r="E11" s="80">
        <v>0.85</v>
      </c>
      <c r="F11" s="86">
        <f>C11*($C$6-E11)</f>
        <v>634.5</v>
      </c>
      <c r="G11" s="107">
        <f>D11/F11</f>
        <v>0.18582821118991333</v>
      </c>
      <c r="H11" s="107">
        <f>IF(G11&gt;AVERAGE($G$11:$G$15),AVERAGE($G$11:$G$15),G11)</f>
        <v>0.18582821118991333</v>
      </c>
      <c r="I11" s="86">
        <f>H11*C11*($C$7-E11)</f>
        <v>106.7583073286052</v>
      </c>
      <c r="J11" s="97"/>
      <c r="K11" s="97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1:54" s="13" customFormat="1" ht="18.75" customHeight="1" thickBot="1" x14ac:dyDescent="0.4">
      <c r="A12" s="18"/>
      <c r="B12" s="101">
        <v>43435</v>
      </c>
      <c r="C12" s="80">
        <v>31</v>
      </c>
      <c r="D12" s="80">
        <v>136.72899999999998</v>
      </c>
      <c r="E12" s="80">
        <v>-2.35</v>
      </c>
      <c r="F12" s="86">
        <f t="shared" ref="F12:F15" si="0">C12*($C$6-E12)</f>
        <v>754.85</v>
      </c>
      <c r="G12" s="107">
        <f t="shared" ref="G12:G15" si="1">D12/F12</f>
        <v>0.18113400013247663</v>
      </c>
      <c r="H12" s="107">
        <f>IF(G12&gt;AVERAGE($G$11:$G$15),AVERAGE($G$11:$G$15),G12)</f>
        <v>0.18113400013247663</v>
      </c>
      <c r="I12" s="86">
        <f t="shared" ref="I12:I15" si="2">H12*C12*($C$7-E12)</f>
        <v>125.49869199178644</v>
      </c>
      <c r="J12" s="97"/>
      <c r="K12" s="97"/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s="13" customFormat="1" ht="18.75" customHeight="1" thickBot="1" x14ac:dyDescent="0.4">
      <c r="A13" s="18"/>
      <c r="B13" s="101">
        <v>43466</v>
      </c>
      <c r="C13" s="80">
        <v>31</v>
      </c>
      <c r="D13" s="80">
        <v>144.71299999999999</v>
      </c>
      <c r="E13" s="80">
        <v>-4.5999999999999996</v>
      </c>
      <c r="F13" s="86">
        <f t="shared" si="0"/>
        <v>824.6</v>
      </c>
      <c r="G13" s="107">
        <f t="shared" si="1"/>
        <v>0.17549478535047294</v>
      </c>
      <c r="H13" s="107">
        <f>IF(G13&gt;AVERAGE($G$11:$G$15),AVERAGE($G$11:$G$15),G13)</f>
        <v>0.17549478535047294</v>
      </c>
      <c r="I13" s="86">
        <f t="shared" si="2"/>
        <v>133.83232330827067</v>
      </c>
      <c r="J13" s="97"/>
      <c r="K13" s="97"/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1:54" s="13" customFormat="1" ht="18.75" customHeight="1" thickBot="1" x14ac:dyDescent="0.4">
      <c r="A14" s="18"/>
      <c r="B14" s="101">
        <v>43497</v>
      </c>
      <c r="C14" s="80">
        <v>28</v>
      </c>
      <c r="D14" s="80">
        <v>110.53699999999999</v>
      </c>
      <c r="E14" s="80">
        <v>0.47</v>
      </c>
      <c r="F14" s="86">
        <f t="shared" si="0"/>
        <v>602.84</v>
      </c>
      <c r="G14" s="107">
        <f t="shared" si="1"/>
        <v>0.18336042731072918</v>
      </c>
      <c r="H14" s="107">
        <f>IF(G14&gt;AVERAGE($G$11:$G$15),AVERAGE($G$11:$G$15),G14)</f>
        <v>0.18336042731072918</v>
      </c>
      <c r="I14" s="86">
        <f t="shared" si="2"/>
        <v>100.26881607059916</v>
      </c>
      <c r="J14" s="97"/>
      <c r="K14" s="97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s="13" customFormat="1" ht="18.75" customHeight="1" x14ac:dyDescent="0.35">
      <c r="A15" s="18"/>
      <c r="B15" s="101">
        <v>43525</v>
      </c>
      <c r="C15" s="80">
        <v>31</v>
      </c>
      <c r="D15" s="80">
        <v>107.36500000000001</v>
      </c>
      <c r="E15" s="80">
        <v>5.09</v>
      </c>
      <c r="F15" s="86">
        <f t="shared" si="0"/>
        <v>524.21</v>
      </c>
      <c r="G15" s="107">
        <f t="shared" si="1"/>
        <v>0.20481295663951471</v>
      </c>
      <c r="H15" s="107">
        <f>IF(G15&gt;AVERAGE($G$11:$G$15),AVERAGE($G$11:$G$15),G15)</f>
        <v>0.18612607612462134</v>
      </c>
      <c r="I15" s="86">
        <f t="shared" si="2"/>
        <v>86.029333645561238</v>
      </c>
      <c r="J15" s="97"/>
      <c r="K15" s="97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54" ht="18.75" customHeigh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8.75" customHeight="1" x14ac:dyDescent="0.35">
      <c r="A17" s="12"/>
      <c r="B17" s="100" t="s">
        <v>183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2"/>
    </row>
    <row r="18" spans="1:12" ht="18.75" customHeight="1" x14ac:dyDescent="0.35">
      <c r="A18" s="12"/>
      <c r="B18" s="102" t="s">
        <v>209</v>
      </c>
      <c r="C18" s="103">
        <f>SUM($D$11:$D$15)</f>
        <v>617.25199999999995</v>
      </c>
      <c r="D18" s="112" t="s">
        <v>210</v>
      </c>
      <c r="E18" s="113"/>
      <c r="F18" s="113"/>
      <c r="G18" s="113"/>
      <c r="H18" s="113"/>
      <c r="I18" s="113"/>
      <c r="J18" s="113"/>
      <c r="K18" s="113"/>
      <c r="L18" s="12"/>
    </row>
    <row r="19" spans="1:12" ht="18.75" customHeight="1" x14ac:dyDescent="0.35">
      <c r="A19" s="12"/>
      <c r="B19" s="102" t="s">
        <v>208</v>
      </c>
      <c r="C19" s="103">
        <f>SUM($I$11:$I$15)</f>
        <v>552.38747234482275</v>
      </c>
      <c r="D19" s="112" t="s">
        <v>211</v>
      </c>
      <c r="E19" s="113"/>
      <c r="F19" s="113"/>
      <c r="G19" s="113"/>
      <c r="H19" s="113"/>
      <c r="I19" s="113"/>
      <c r="J19" s="113"/>
      <c r="K19" s="113"/>
      <c r="L19" s="12"/>
    </row>
    <row r="20" spans="1:12" ht="18.75" customHeight="1" x14ac:dyDescent="0.35">
      <c r="A20" s="12"/>
      <c r="B20" s="102" t="s">
        <v>2</v>
      </c>
      <c r="C20" s="104">
        <f>C18*C8-C19*C8</f>
        <v>107312.52319800167</v>
      </c>
      <c r="D20" s="112" t="s">
        <v>160</v>
      </c>
      <c r="E20" s="113"/>
      <c r="F20" s="113"/>
      <c r="G20" s="113"/>
      <c r="H20" s="113"/>
      <c r="I20" s="113"/>
      <c r="J20" s="113"/>
      <c r="K20" s="113"/>
      <c r="L20" s="12"/>
    </row>
    <row r="21" spans="1:12" ht="18.75" customHeight="1" x14ac:dyDescent="0.35">
      <c r="A21" s="12"/>
      <c r="B21" s="102" t="s">
        <v>306</v>
      </c>
      <c r="C21" s="104">
        <f>ROUND(C5*1163000,-3)</f>
        <v>465000</v>
      </c>
      <c r="D21" s="112" t="s">
        <v>307</v>
      </c>
      <c r="E21" s="113"/>
      <c r="F21" s="113"/>
      <c r="G21" s="113"/>
      <c r="H21" s="113"/>
      <c r="I21" s="113"/>
      <c r="J21" s="113"/>
      <c r="K21" s="113"/>
      <c r="L21" s="12"/>
    </row>
    <row r="22" spans="1:12" ht="18.75" customHeight="1" x14ac:dyDescent="0.35">
      <c r="A22" s="12"/>
      <c r="B22" s="102" t="s">
        <v>308</v>
      </c>
      <c r="C22" s="105">
        <f>C21/C20</f>
        <v>4.3331382595676313</v>
      </c>
      <c r="D22" s="112" t="s">
        <v>309</v>
      </c>
      <c r="E22" s="113"/>
      <c r="F22" s="113"/>
      <c r="G22" s="113"/>
      <c r="H22" s="113"/>
      <c r="I22" s="113"/>
      <c r="J22" s="113"/>
      <c r="K22" s="113"/>
      <c r="L22" s="12"/>
    </row>
    <row r="23" spans="1:12" ht="18.75" customHeigh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1:12" ht="18.75" customHeight="1" x14ac:dyDescent="0.35">
      <c r="C25" s="95"/>
    </row>
    <row r="27" spans="1:12" ht="18.75" customHeight="1" x14ac:dyDescent="0.35">
      <c r="D27" s="20"/>
    </row>
  </sheetData>
  <mergeCells count="9">
    <mergeCell ref="D19:K19"/>
    <mergeCell ref="D20:K20"/>
    <mergeCell ref="D21:K21"/>
    <mergeCell ref="D22:K22"/>
    <mergeCell ref="D5:K5"/>
    <mergeCell ref="D6:K6"/>
    <mergeCell ref="D7:K7"/>
    <mergeCell ref="D8:K8"/>
    <mergeCell ref="D18:K18"/>
  </mergeCells>
  <pageMargins left="0.7" right="0.7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29"/>
  <sheetViews>
    <sheetView view="pageBreakPreview" zoomScale="115" zoomScaleNormal="100" zoomScaleSheetLayoutView="115" workbookViewId="0">
      <selection activeCell="D16" sqref="D16"/>
    </sheetView>
  </sheetViews>
  <sheetFormatPr defaultRowHeight="14.5" x14ac:dyDescent="0.35"/>
  <cols>
    <col min="1" max="1" width="4" customWidth="1"/>
    <col min="2" max="2" width="10.453125" customWidth="1"/>
    <col min="3" max="3" width="28.6328125" customWidth="1"/>
    <col min="4" max="4" width="95.453125" customWidth="1"/>
    <col min="5" max="5" width="4.36328125" customWidth="1"/>
    <col min="23" max="24" width="11.6328125" customWidth="1"/>
  </cols>
  <sheetData>
    <row r="1" spans="1:35" x14ac:dyDescent="0.35">
      <c r="A1" s="6"/>
      <c r="B1" s="6"/>
      <c r="C1" s="6"/>
      <c r="D1" s="6"/>
      <c r="E1" s="6"/>
    </row>
    <row r="2" spans="1:35" x14ac:dyDescent="0.35">
      <c r="A2" s="6"/>
      <c r="B2" s="108" t="s">
        <v>265</v>
      </c>
      <c r="C2" s="108"/>
      <c r="D2" s="108"/>
      <c r="E2" s="6"/>
    </row>
    <row r="3" spans="1:35" x14ac:dyDescent="0.35">
      <c r="A3" s="6"/>
      <c r="B3" s="6"/>
      <c r="C3" s="6"/>
      <c r="D3" s="6"/>
      <c r="E3" s="6"/>
    </row>
    <row r="4" spans="1:35" ht="15" thickBot="1" x14ac:dyDescent="0.4">
      <c r="A4" s="6"/>
      <c r="B4" s="114" t="s">
        <v>182</v>
      </c>
      <c r="C4" s="114"/>
      <c r="D4" s="114"/>
      <c r="E4" s="6"/>
    </row>
    <row r="5" spans="1:35" ht="15" thickBot="1" x14ac:dyDescent="0.4">
      <c r="A5" s="6"/>
      <c r="B5" s="43"/>
      <c r="C5" s="80" t="s">
        <v>235</v>
      </c>
      <c r="D5" s="81" t="s">
        <v>236</v>
      </c>
      <c r="E5" s="6"/>
      <c r="W5" s="82" t="s">
        <v>237</v>
      </c>
      <c r="X5" s="82" t="s">
        <v>238</v>
      </c>
      <c r="Y5" s="82" t="s">
        <v>239</v>
      </c>
      <c r="Z5" s="82" t="s">
        <v>240</v>
      </c>
      <c r="AA5" s="82" t="s">
        <v>241</v>
      </c>
      <c r="AB5" s="82" t="s">
        <v>242</v>
      </c>
      <c r="AC5" s="82" t="s">
        <v>243</v>
      </c>
      <c r="AD5" s="82" t="s">
        <v>244</v>
      </c>
      <c r="AE5" s="82" t="s">
        <v>245</v>
      </c>
      <c r="AF5" s="82" t="s">
        <v>246</v>
      </c>
      <c r="AG5" s="82" t="s">
        <v>247</v>
      </c>
      <c r="AH5" s="82" t="s">
        <v>248</v>
      </c>
      <c r="AI5" s="82" t="s">
        <v>249</v>
      </c>
    </row>
    <row r="6" spans="1:35" ht="17" thickBot="1" x14ac:dyDescent="0.4">
      <c r="A6" s="6"/>
      <c r="B6" s="43" t="s">
        <v>250</v>
      </c>
      <c r="C6" s="80">
        <v>20000</v>
      </c>
      <c r="D6" s="43" t="s">
        <v>251</v>
      </c>
      <c r="E6" s="6"/>
      <c r="W6" s="82">
        <v>1</v>
      </c>
      <c r="X6" s="83">
        <v>-5.5</v>
      </c>
      <c r="Y6" s="83">
        <v>-4.5</v>
      </c>
      <c r="Z6" s="83">
        <v>-0.3</v>
      </c>
      <c r="AA6" s="83">
        <v>6.9</v>
      </c>
      <c r="AB6" s="83">
        <v>12.4</v>
      </c>
      <c r="AC6" s="83">
        <v>15.3</v>
      </c>
      <c r="AD6" s="83">
        <v>17.2</v>
      </c>
      <c r="AE6" s="83">
        <v>16.600000000000001</v>
      </c>
      <c r="AF6" s="83">
        <v>12</v>
      </c>
      <c r="AG6" s="83">
        <v>7</v>
      </c>
      <c r="AH6" s="83">
        <v>1.2</v>
      </c>
      <c r="AI6" s="83">
        <v>-3.1</v>
      </c>
    </row>
    <row r="7" spans="1:35" ht="15" thickBot="1" x14ac:dyDescent="0.4">
      <c r="A7" s="6"/>
      <c r="B7" s="43" t="s">
        <v>252</v>
      </c>
      <c r="C7" s="80">
        <v>2.5</v>
      </c>
      <c r="D7" s="43" t="s">
        <v>253</v>
      </c>
      <c r="E7" s="6"/>
      <c r="W7" s="82">
        <v>2</v>
      </c>
      <c r="X7" s="84">
        <v>-5.9</v>
      </c>
      <c r="Y7" s="84">
        <v>-5</v>
      </c>
      <c r="Z7" s="84">
        <v>-0.8</v>
      </c>
      <c r="AA7" s="84">
        <v>6.2</v>
      </c>
      <c r="AB7" s="84">
        <v>11.6</v>
      </c>
      <c r="AC7" s="84">
        <v>14.5</v>
      </c>
      <c r="AD7" s="84">
        <v>16.399999999999999</v>
      </c>
      <c r="AE7" s="84">
        <v>15.8</v>
      </c>
      <c r="AF7" s="84">
        <v>11.2</v>
      </c>
      <c r="AG7" s="84">
        <v>6.3</v>
      </c>
      <c r="AH7" s="84">
        <v>0.8</v>
      </c>
      <c r="AI7" s="84">
        <v>-3.6</v>
      </c>
    </row>
    <row r="8" spans="1:35" ht="17" thickBot="1" x14ac:dyDescent="0.4">
      <c r="A8" s="6"/>
      <c r="B8" s="43" t="s">
        <v>254</v>
      </c>
      <c r="C8" s="85">
        <v>1.68</v>
      </c>
      <c r="D8" s="43" t="s">
        <v>255</v>
      </c>
      <c r="E8" s="6"/>
      <c r="W8" s="82">
        <v>3</v>
      </c>
      <c r="X8" s="83">
        <v>-6.4</v>
      </c>
      <c r="Y8" s="83">
        <v>-5.5</v>
      </c>
      <c r="Z8" s="83">
        <v>-1.3</v>
      </c>
      <c r="AA8" s="83">
        <v>5.5</v>
      </c>
      <c r="AB8" s="83">
        <v>11</v>
      </c>
      <c r="AC8" s="83">
        <v>14</v>
      </c>
      <c r="AD8" s="83">
        <v>15.8</v>
      </c>
      <c r="AE8" s="83">
        <v>15.1</v>
      </c>
      <c r="AF8" s="83">
        <v>10.6</v>
      </c>
      <c r="AG8" s="83">
        <v>5.7</v>
      </c>
      <c r="AH8" s="83">
        <v>0.4</v>
      </c>
      <c r="AI8" s="83">
        <v>-3.9</v>
      </c>
    </row>
    <row r="9" spans="1:35" ht="17" thickBot="1" x14ac:dyDescent="0.4">
      <c r="A9" s="6"/>
      <c r="B9" s="43" t="s">
        <v>256</v>
      </c>
      <c r="C9" s="80">
        <f>176*24</f>
        <v>4224</v>
      </c>
      <c r="D9" s="43" t="s">
        <v>257</v>
      </c>
      <c r="E9" s="6"/>
      <c r="W9" s="82">
        <v>4</v>
      </c>
      <c r="X9" s="84">
        <v>-6.7</v>
      </c>
      <c r="Y9" s="84">
        <v>-5.8</v>
      </c>
      <c r="Z9" s="84">
        <v>-1.7</v>
      </c>
      <c r="AA9" s="84">
        <v>5.0999999999999996</v>
      </c>
      <c r="AB9" s="84">
        <v>10.6</v>
      </c>
      <c r="AC9" s="84">
        <v>13.6</v>
      </c>
      <c r="AD9" s="84">
        <v>15.3</v>
      </c>
      <c r="AE9" s="84">
        <v>14.6</v>
      </c>
      <c r="AF9" s="84">
        <v>10</v>
      </c>
      <c r="AG9" s="84">
        <v>5.2</v>
      </c>
      <c r="AH9" s="84">
        <v>0.1</v>
      </c>
      <c r="AI9" s="84">
        <v>-4.2</v>
      </c>
    </row>
    <row r="10" spans="1:35" ht="16.5" x14ac:dyDescent="0.35">
      <c r="A10" s="6"/>
      <c r="B10" s="43" t="s">
        <v>258</v>
      </c>
      <c r="C10" s="80">
        <f>C9-(COUNTIF(X6:X29,"&lt;0")*31+COUNTIF(Y6:Y29,"&lt;0")*28+COUNTIF(Z6:Z29,"&lt;0")*31+COUNTIF(AA6:AA29,"&lt;0")*31+COUNTIF(AG6:AG29,"&lt;0")*31+COUNTIF(AH6:AH29,"&lt;0")*30+COUNTIF(AI6:AI29,"&lt;0")*31)</f>
        <v>1604</v>
      </c>
      <c r="D10" s="43" t="s">
        <v>259</v>
      </c>
      <c r="E10" s="6"/>
      <c r="W10" s="82">
        <v>5</v>
      </c>
      <c r="X10" s="83">
        <v>-7</v>
      </c>
      <c r="Y10" s="83">
        <v>-6.1</v>
      </c>
      <c r="Z10" s="83">
        <v>-2.1</v>
      </c>
      <c r="AA10" s="83">
        <v>4.7</v>
      </c>
      <c r="AB10" s="83">
        <v>10.3</v>
      </c>
      <c r="AC10" s="83">
        <v>13.5</v>
      </c>
      <c r="AD10" s="83">
        <v>15.1</v>
      </c>
      <c r="AE10" s="83">
        <v>14.3</v>
      </c>
      <c r="AF10" s="83">
        <v>9.6</v>
      </c>
      <c r="AG10" s="83">
        <v>4.8</v>
      </c>
      <c r="AH10" s="83">
        <v>-0.1</v>
      </c>
      <c r="AI10" s="83">
        <v>-4.5</v>
      </c>
    </row>
    <row r="11" spans="1:35" x14ac:dyDescent="0.35">
      <c r="A11" s="6"/>
      <c r="B11" s="6"/>
      <c r="C11" s="6"/>
      <c r="D11" s="6"/>
      <c r="E11" s="6"/>
      <c r="W11" s="82">
        <v>6</v>
      </c>
      <c r="X11" s="84">
        <v>-7.3</v>
      </c>
      <c r="Y11" s="84">
        <v>-6.3</v>
      </c>
      <c r="Z11" s="84">
        <v>-2.2000000000000002</v>
      </c>
      <c r="AA11" s="84">
        <v>4.5999999999999996</v>
      </c>
      <c r="AB11" s="84">
        <v>10.4</v>
      </c>
      <c r="AC11" s="84">
        <v>13.7</v>
      </c>
      <c r="AD11" s="84">
        <v>15.2</v>
      </c>
      <c r="AE11" s="84">
        <v>14.2</v>
      </c>
      <c r="AF11" s="84">
        <v>9.4</v>
      </c>
      <c r="AG11" s="84">
        <v>4.5</v>
      </c>
      <c r="AH11" s="84">
        <v>-0.3</v>
      </c>
      <c r="AI11" s="84">
        <v>-4.7</v>
      </c>
    </row>
    <row r="12" spans="1:35" ht="15" thickBot="1" x14ac:dyDescent="0.4">
      <c r="A12" s="6"/>
      <c r="B12" s="114" t="s">
        <v>183</v>
      </c>
      <c r="C12" s="114"/>
      <c r="D12" s="114"/>
      <c r="E12" s="6"/>
      <c r="W12" s="82">
        <v>7</v>
      </c>
      <c r="X12" s="83">
        <v>-7.4</v>
      </c>
      <c r="Y12" s="83">
        <v>-6.4</v>
      </c>
      <c r="Z12" s="83">
        <v>-2.2999999999999998</v>
      </c>
      <c r="AA12" s="83">
        <v>4.8</v>
      </c>
      <c r="AB12" s="83">
        <v>10.9</v>
      </c>
      <c r="AC12" s="83">
        <v>14.4</v>
      </c>
      <c r="AD12" s="83">
        <v>15.7</v>
      </c>
      <c r="AE12" s="83">
        <v>14.5</v>
      </c>
      <c r="AF12" s="83">
        <v>9.4</v>
      </c>
      <c r="AG12" s="83">
        <v>4.4000000000000004</v>
      </c>
      <c r="AH12" s="83">
        <v>-0.4</v>
      </c>
      <c r="AI12" s="83">
        <v>-4.8</v>
      </c>
    </row>
    <row r="13" spans="1:35" ht="17" thickBot="1" x14ac:dyDescent="0.4">
      <c r="A13" s="6"/>
      <c r="B13" s="43" t="s">
        <v>260</v>
      </c>
      <c r="C13" s="86">
        <f>C10/C9*C6/C7+(C9-C10)/C9*C6</f>
        <v>15443.181818181818</v>
      </c>
      <c r="D13" s="43" t="s">
        <v>261</v>
      </c>
      <c r="E13" s="6"/>
      <c r="W13" s="82">
        <v>8</v>
      </c>
      <c r="X13" s="84">
        <v>-7.4</v>
      </c>
      <c r="Y13" s="84">
        <v>-6.4</v>
      </c>
      <c r="Z13" s="84">
        <v>-2</v>
      </c>
      <c r="AA13" s="84">
        <v>5.4</v>
      </c>
      <c r="AB13" s="84">
        <v>11.9</v>
      </c>
      <c r="AC13" s="84">
        <v>15.5</v>
      </c>
      <c r="AD13" s="84">
        <v>16.600000000000001</v>
      </c>
      <c r="AE13" s="84">
        <v>15.3</v>
      </c>
      <c r="AF13" s="84">
        <v>9.9</v>
      </c>
      <c r="AG13" s="84">
        <v>4.4000000000000004</v>
      </c>
      <c r="AH13" s="84">
        <v>-0.4</v>
      </c>
      <c r="AI13" s="84">
        <v>-4.8</v>
      </c>
    </row>
    <row r="14" spans="1:35" ht="17" thickBot="1" x14ac:dyDescent="0.4">
      <c r="A14" s="6"/>
      <c r="B14" s="43" t="s">
        <v>262</v>
      </c>
      <c r="C14" s="86">
        <f>C6-C13</f>
        <v>4556.818181818182</v>
      </c>
      <c r="D14" s="43" t="s">
        <v>263</v>
      </c>
      <c r="E14" s="6"/>
      <c r="W14" s="82">
        <v>9</v>
      </c>
      <c r="X14" s="83">
        <v>-7.2</v>
      </c>
      <c r="Y14" s="83">
        <v>-5.9</v>
      </c>
      <c r="Z14" s="83">
        <v>-1.3</v>
      </c>
      <c r="AA14" s="83">
        <v>6.6</v>
      </c>
      <c r="AB14" s="83">
        <v>13.2</v>
      </c>
      <c r="AC14" s="83">
        <v>16.8</v>
      </c>
      <c r="AD14" s="83">
        <v>17.899999999999999</v>
      </c>
      <c r="AE14" s="83">
        <v>16.600000000000001</v>
      </c>
      <c r="AF14" s="83">
        <v>10.9</v>
      </c>
      <c r="AG14" s="83">
        <v>4.9000000000000004</v>
      </c>
      <c r="AH14" s="83">
        <v>-0.1</v>
      </c>
      <c r="AI14" s="83">
        <v>-4.5999999999999996</v>
      </c>
    </row>
    <row r="15" spans="1:35" x14ac:dyDescent="0.35">
      <c r="A15" s="6"/>
      <c r="B15" s="43" t="s">
        <v>2</v>
      </c>
      <c r="C15" s="86">
        <f>C14*C8</f>
        <v>7655.454545454545</v>
      </c>
      <c r="D15" s="43" t="s">
        <v>317</v>
      </c>
      <c r="E15" s="6"/>
      <c r="W15" s="82">
        <v>10</v>
      </c>
      <c r="X15" s="84">
        <v>-6.4</v>
      </c>
      <c r="Y15" s="84">
        <v>-5</v>
      </c>
      <c r="Z15" s="84">
        <v>-0.3</v>
      </c>
      <c r="AA15" s="84">
        <v>8</v>
      </c>
      <c r="AB15" s="84">
        <v>14.8</v>
      </c>
      <c r="AC15" s="84">
        <v>18.3</v>
      </c>
      <c r="AD15" s="84">
        <v>19.399999999999999</v>
      </c>
      <c r="AE15" s="84">
        <v>18.2</v>
      </c>
      <c r="AF15" s="84">
        <v>12.4</v>
      </c>
      <c r="AG15" s="84">
        <v>6</v>
      </c>
      <c r="AH15" s="84">
        <v>0.6</v>
      </c>
      <c r="AI15" s="84">
        <v>-4</v>
      </c>
    </row>
    <row r="16" spans="1:35" x14ac:dyDescent="0.35">
      <c r="A16" s="6"/>
      <c r="B16" s="87" t="s">
        <v>264</v>
      </c>
      <c r="C16" s="6"/>
      <c r="D16" s="6"/>
      <c r="E16" s="6"/>
      <c r="W16" s="82">
        <v>11</v>
      </c>
      <c r="X16" s="83">
        <v>-5.3</v>
      </c>
      <c r="Y16" s="83">
        <v>-3.9</v>
      </c>
      <c r="Z16" s="83">
        <v>1</v>
      </c>
      <c r="AA16" s="83">
        <v>9.6</v>
      </c>
      <c r="AB16" s="83">
        <v>16.399999999999999</v>
      </c>
      <c r="AC16" s="83">
        <v>19.8</v>
      </c>
      <c r="AD16" s="83">
        <v>21</v>
      </c>
      <c r="AE16" s="83">
        <v>19.8</v>
      </c>
      <c r="AF16" s="83">
        <v>14.1</v>
      </c>
      <c r="AG16" s="83">
        <v>7.5</v>
      </c>
      <c r="AH16" s="83">
        <v>1.5</v>
      </c>
      <c r="AI16" s="83">
        <v>-3</v>
      </c>
    </row>
    <row r="17" spans="1:35" x14ac:dyDescent="0.35">
      <c r="A17" s="6"/>
      <c r="B17" s="6"/>
      <c r="C17" s="6"/>
      <c r="D17" s="6"/>
      <c r="E17" s="6"/>
      <c r="W17" s="82">
        <v>12</v>
      </c>
      <c r="X17" s="84">
        <v>-4.0999999999999996</v>
      </c>
      <c r="Y17" s="84">
        <v>-2.7</v>
      </c>
      <c r="Z17" s="84">
        <v>2.2999999999999998</v>
      </c>
      <c r="AA17" s="84">
        <v>11.1</v>
      </c>
      <c r="AB17" s="84">
        <v>17.899999999999999</v>
      </c>
      <c r="AC17" s="84">
        <v>21.1</v>
      </c>
      <c r="AD17" s="84">
        <v>22.4</v>
      </c>
      <c r="AE17" s="84">
        <v>21.4</v>
      </c>
      <c r="AF17" s="84">
        <v>15.8</v>
      </c>
      <c r="AG17" s="84">
        <v>9.1</v>
      </c>
      <c r="AH17" s="84">
        <v>2.5</v>
      </c>
      <c r="AI17" s="84">
        <v>-2</v>
      </c>
    </row>
    <row r="18" spans="1:35" x14ac:dyDescent="0.35">
      <c r="A18" s="6"/>
      <c r="B18" s="6"/>
      <c r="C18" s="6"/>
      <c r="D18" s="6"/>
      <c r="E18" s="6"/>
      <c r="W18" s="82">
        <v>13</v>
      </c>
      <c r="X18" s="83">
        <v>-3</v>
      </c>
      <c r="Y18" s="83">
        <v>-1.7</v>
      </c>
      <c r="Z18" s="83">
        <v>3.3</v>
      </c>
      <c r="AA18" s="83">
        <v>12.3</v>
      </c>
      <c r="AB18" s="83">
        <v>19.100000000000001</v>
      </c>
      <c r="AC18" s="83">
        <v>22.2</v>
      </c>
      <c r="AD18" s="83">
        <v>23.5</v>
      </c>
      <c r="AE18" s="83">
        <v>22.7</v>
      </c>
      <c r="AF18" s="83">
        <v>17.2</v>
      </c>
      <c r="AG18" s="83">
        <v>10.5</v>
      </c>
      <c r="AH18" s="83">
        <v>3.4</v>
      </c>
      <c r="AI18" s="83">
        <v>-1</v>
      </c>
    </row>
    <row r="19" spans="1:35" x14ac:dyDescent="0.35">
      <c r="W19" s="82">
        <v>14</v>
      </c>
      <c r="X19" s="84">
        <v>-2.2000000000000002</v>
      </c>
      <c r="Y19" s="84">
        <v>-1</v>
      </c>
      <c r="Z19" s="84">
        <v>4</v>
      </c>
      <c r="AA19" s="84">
        <v>13.1</v>
      </c>
      <c r="AB19" s="84">
        <v>19.8</v>
      </c>
      <c r="AC19" s="84">
        <v>22.9</v>
      </c>
      <c r="AD19" s="84">
        <v>24.2</v>
      </c>
      <c r="AE19" s="84">
        <v>23.5</v>
      </c>
      <c r="AF19" s="84">
        <v>18.100000000000001</v>
      </c>
      <c r="AG19" s="84">
        <v>11.5</v>
      </c>
      <c r="AH19" s="84">
        <v>4</v>
      </c>
      <c r="AI19" s="84">
        <v>-0.4</v>
      </c>
    </row>
    <row r="20" spans="1:35" x14ac:dyDescent="0.35">
      <c r="W20" s="82">
        <v>15</v>
      </c>
      <c r="X20" s="83">
        <v>-2</v>
      </c>
      <c r="Y20" s="83">
        <v>-0.8</v>
      </c>
      <c r="Z20" s="83">
        <v>4.3</v>
      </c>
      <c r="AA20" s="83">
        <v>13.4</v>
      </c>
      <c r="AB20" s="83">
        <v>20.100000000000001</v>
      </c>
      <c r="AC20" s="83">
        <v>23.1</v>
      </c>
      <c r="AD20" s="83">
        <v>24.5</v>
      </c>
      <c r="AE20" s="83">
        <v>23.8</v>
      </c>
      <c r="AF20" s="83">
        <v>18.399999999999999</v>
      </c>
      <c r="AG20" s="83">
        <v>11.8</v>
      </c>
      <c r="AH20" s="83">
        <v>4.2</v>
      </c>
      <c r="AI20" s="83">
        <v>-0.2</v>
      </c>
    </row>
    <row r="21" spans="1:35" x14ac:dyDescent="0.35">
      <c r="W21" s="82">
        <v>16</v>
      </c>
      <c r="X21" s="84">
        <v>-2</v>
      </c>
      <c r="Y21" s="84">
        <v>-0.8</v>
      </c>
      <c r="Z21" s="84">
        <v>4.2</v>
      </c>
      <c r="AA21" s="84">
        <v>13.3</v>
      </c>
      <c r="AB21" s="84">
        <v>20</v>
      </c>
      <c r="AC21" s="84">
        <v>23</v>
      </c>
      <c r="AD21" s="84">
        <v>24.4</v>
      </c>
      <c r="AE21" s="84">
        <v>23.7</v>
      </c>
      <c r="AF21" s="84">
        <v>18.399999999999999</v>
      </c>
      <c r="AG21" s="84">
        <v>11.8</v>
      </c>
      <c r="AH21" s="84">
        <v>4.2</v>
      </c>
      <c r="AI21" s="84">
        <v>-0.2</v>
      </c>
    </row>
    <row r="22" spans="1:35" x14ac:dyDescent="0.35">
      <c r="W22" s="82">
        <v>17</v>
      </c>
      <c r="X22" s="83">
        <v>-2.1</v>
      </c>
      <c r="Y22" s="83">
        <v>-1</v>
      </c>
      <c r="Z22" s="83">
        <v>4.0999999999999996</v>
      </c>
      <c r="AA22" s="83">
        <v>13</v>
      </c>
      <c r="AB22" s="83">
        <v>19.600000000000001</v>
      </c>
      <c r="AC22" s="83">
        <v>22.6</v>
      </c>
      <c r="AD22" s="83">
        <v>24.1</v>
      </c>
      <c r="AE22" s="83">
        <v>23.4</v>
      </c>
      <c r="AF22" s="83">
        <v>18.100000000000001</v>
      </c>
      <c r="AG22" s="83">
        <v>11.6</v>
      </c>
      <c r="AH22" s="83">
        <v>4.0999999999999996</v>
      </c>
      <c r="AI22" s="83">
        <v>-0.3</v>
      </c>
    </row>
    <row r="23" spans="1:35" x14ac:dyDescent="0.35">
      <c r="C23" s="88"/>
      <c r="W23" s="82">
        <v>18</v>
      </c>
      <c r="X23" s="84">
        <v>-2.4</v>
      </c>
      <c r="Y23" s="84">
        <v>-1.2</v>
      </c>
      <c r="Z23" s="84">
        <v>3.7</v>
      </c>
      <c r="AA23" s="84">
        <v>12.6</v>
      </c>
      <c r="AB23" s="84">
        <v>19.100000000000001</v>
      </c>
      <c r="AC23" s="84">
        <v>22.1</v>
      </c>
      <c r="AD23" s="84">
        <v>23.5</v>
      </c>
      <c r="AE23" s="84">
        <v>22.9</v>
      </c>
      <c r="AF23" s="84">
        <v>17.7</v>
      </c>
      <c r="AG23" s="84">
        <v>11.3</v>
      </c>
      <c r="AH23" s="84">
        <v>3.9</v>
      </c>
      <c r="AI23" s="84">
        <v>-0.5</v>
      </c>
    </row>
    <row r="24" spans="1:35" x14ac:dyDescent="0.35">
      <c r="W24" s="82">
        <v>19</v>
      </c>
      <c r="X24" s="83">
        <v>-2.7</v>
      </c>
      <c r="Y24" s="83">
        <v>-1.5</v>
      </c>
      <c r="Z24" s="83">
        <v>3.3</v>
      </c>
      <c r="AA24" s="83">
        <v>12</v>
      </c>
      <c r="AB24" s="83">
        <v>18.399999999999999</v>
      </c>
      <c r="AC24" s="83">
        <v>21.3</v>
      </c>
      <c r="AD24" s="83">
        <v>22.8</v>
      </c>
      <c r="AE24" s="83">
        <v>22.2</v>
      </c>
      <c r="AF24" s="83">
        <v>17.100000000000001</v>
      </c>
      <c r="AG24" s="83">
        <v>10.8</v>
      </c>
      <c r="AH24" s="83">
        <v>3.6</v>
      </c>
      <c r="AI24" s="83">
        <v>-0.8</v>
      </c>
    </row>
    <row r="25" spans="1:35" x14ac:dyDescent="0.35">
      <c r="W25" s="82">
        <v>20</v>
      </c>
      <c r="X25" s="84">
        <v>-3</v>
      </c>
      <c r="Y25" s="84">
        <v>-1.9</v>
      </c>
      <c r="Z25" s="84">
        <v>2.8</v>
      </c>
      <c r="AA25" s="84">
        <v>11.3</v>
      </c>
      <c r="AB25" s="84">
        <v>17.5</v>
      </c>
      <c r="AC25" s="84">
        <v>20.399999999999999</v>
      </c>
      <c r="AD25" s="84">
        <v>22</v>
      </c>
      <c r="AE25" s="84">
        <v>21.4</v>
      </c>
      <c r="AF25" s="84">
        <v>16.399999999999999</v>
      </c>
      <c r="AG25" s="84">
        <v>10.3</v>
      </c>
      <c r="AH25" s="84">
        <v>3.3</v>
      </c>
      <c r="AI25" s="84">
        <v>-1.1000000000000001</v>
      </c>
    </row>
    <row r="26" spans="1:35" x14ac:dyDescent="0.35">
      <c r="W26" s="82">
        <v>21</v>
      </c>
      <c r="X26" s="83">
        <v>-3.5</v>
      </c>
      <c r="Y26" s="83">
        <v>-2.4</v>
      </c>
      <c r="Z26" s="83">
        <v>2.2999999999999998</v>
      </c>
      <c r="AA26" s="83">
        <v>10.5</v>
      </c>
      <c r="AB26" s="83">
        <v>16.5</v>
      </c>
      <c r="AC26" s="83">
        <v>19.399999999999999</v>
      </c>
      <c r="AD26" s="83">
        <v>21.1</v>
      </c>
      <c r="AE26" s="83">
        <v>20.5</v>
      </c>
      <c r="AF26" s="83">
        <v>15.6</v>
      </c>
      <c r="AG26" s="83">
        <v>9.6999999999999993</v>
      </c>
      <c r="AH26" s="83">
        <v>2.9</v>
      </c>
      <c r="AI26" s="83">
        <v>-1.4</v>
      </c>
    </row>
    <row r="27" spans="1:35" x14ac:dyDescent="0.35">
      <c r="W27" s="82">
        <v>22</v>
      </c>
      <c r="X27" s="84">
        <v>-3.9</v>
      </c>
      <c r="Y27" s="84">
        <v>-2.9</v>
      </c>
      <c r="Z27" s="84">
        <v>1.6</v>
      </c>
      <c r="AA27" s="84">
        <v>9.6</v>
      </c>
      <c r="AB27" s="84">
        <v>15.5</v>
      </c>
      <c r="AC27" s="84">
        <v>18.3</v>
      </c>
      <c r="AD27" s="84">
        <v>20.100000000000001</v>
      </c>
      <c r="AE27" s="84">
        <v>19.5</v>
      </c>
      <c r="AF27" s="84">
        <v>14.7</v>
      </c>
      <c r="AG27" s="84">
        <v>9.1</v>
      </c>
      <c r="AH27" s="84">
        <v>2.5</v>
      </c>
      <c r="AI27" s="84">
        <v>-1.9</v>
      </c>
    </row>
    <row r="28" spans="1:35" x14ac:dyDescent="0.35">
      <c r="W28" s="82">
        <v>23</v>
      </c>
      <c r="X28" s="83">
        <v>-4.4000000000000004</v>
      </c>
      <c r="Y28" s="83">
        <v>-3.5</v>
      </c>
      <c r="Z28" s="83">
        <v>1</v>
      </c>
      <c r="AA28" s="83">
        <v>8.6999999999999993</v>
      </c>
      <c r="AB28" s="83">
        <v>14.4</v>
      </c>
      <c r="AC28" s="83">
        <v>17.2</v>
      </c>
      <c r="AD28" s="83">
        <v>19</v>
      </c>
      <c r="AE28" s="83">
        <v>18.5</v>
      </c>
      <c r="AF28" s="83">
        <v>13.8</v>
      </c>
      <c r="AG28" s="83">
        <v>8.4</v>
      </c>
      <c r="AH28" s="83">
        <v>2.1</v>
      </c>
      <c r="AI28" s="83">
        <v>-2.2999999999999998</v>
      </c>
    </row>
    <row r="29" spans="1:35" x14ac:dyDescent="0.35">
      <c r="W29" s="82">
        <v>24</v>
      </c>
      <c r="X29" s="84">
        <v>-4.9000000000000004</v>
      </c>
      <c r="Y29" s="84">
        <v>-4</v>
      </c>
      <c r="Z29" s="84">
        <v>0.4</v>
      </c>
      <c r="AA29" s="84">
        <v>7.8</v>
      </c>
      <c r="AB29" s="84">
        <v>13.4</v>
      </c>
      <c r="AC29" s="84">
        <v>16.2</v>
      </c>
      <c r="AD29" s="84">
        <v>18.100000000000001</v>
      </c>
      <c r="AE29" s="84">
        <v>17.5</v>
      </c>
      <c r="AF29" s="84">
        <v>12.9</v>
      </c>
      <c r="AG29" s="84">
        <v>7.7</v>
      </c>
      <c r="AH29" s="84">
        <v>1.6</v>
      </c>
      <c r="AI29" s="84">
        <v>-2.7</v>
      </c>
    </row>
  </sheetData>
  <mergeCells count="3">
    <mergeCell ref="B2:D2"/>
    <mergeCell ref="B4:D4"/>
    <mergeCell ref="B12:D12"/>
  </mergeCells>
  <pageMargins left="0.7" right="0.7" top="0.75" bottom="0.75" header="0.3" footer="0.3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23"/>
  <sheetViews>
    <sheetView tabSelected="1" view="pageBreakPreview" topLeftCell="B1" zoomScaleNormal="100" zoomScaleSheetLayoutView="100" workbookViewId="0">
      <selection activeCell="C7" sqref="C7"/>
    </sheetView>
  </sheetViews>
  <sheetFormatPr defaultRowHeight="14.5" x14ac:dyDescent="0.35"/>
  <cols>
    <col min="1" max="1" width="4.81640625" customWidth="1"/>
    <col min="2" max="2" width="42.1796875" customWidth="1"/>
    <col min="3" max="3" width="17.08984375" customWidth="1"/>
    <col min="4" max="4" width="110.36328125" customWidth="1"/>
    <col min="5" max="5" width="4.81640625" customWidth="1"/>
    <col min="6" max="6" width="14.08984375" bestFit="1" customWidth="1"/>
    <col min="12" max="12" width="15.81640625" customWidth="1"/>
  </cols>
  <sheetData>
    <row r="1" spans="1:12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5">
      <c r="A2" s="6"/>
      <c r="B2" s="108" t="s">
        <v>271</v>
      </c>
      <c r="C2" s="108"/>
      <c r="D2" s="108"/>
      <c r="E2" s="6"/>
      <c r="F2" s="6"/>
      <c r="G2" s="6"/>
      <c r="H2" s="6"/>
      <c r="I2" s="6"/>
      <c r="J2" s="6"/>
      <c r="K2" s="6"/>
      <c r="L2" s="6"/>
    </row>
    <row r="3" spans="1:12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35">
      <c r="A4" s="6"/>
      <c r="B4" s="114" t="s">
        <v>182</v>
      </c>
      <c r="C4" s="114"/>
      <c r="D4" s="114"/>
      <c r="E4" s="6"/>
      <c r="F4" s="6"/>
      <c r="G4" s="6"/>
      <c r="H4" s="6"/>
      <c r="I4" s="6"/>
      <c r="J4" s="6"/>
      <c r="K4" s="6"/>
      <c r="L4" s="6"/>
    </row>
    <row r="5" spans="1:12" ht="16.5" x14ac:dyDescent="0.35">
      <c r="A5" s="6"/>
      <c r="B5" s="43" t="s">
        <v>272</v>
      </c>
      <c r="C5" s="90">
        <v>3</v>
      </c>
      <c r="D5" s="43" t="s">
        <v>273</v>
      </c>
      <c r="E5" s="6"/>
      <c r="F5" s="6"/>
      <c r="G5" s="6"/>
      <c r="H5" s="6"/>
      <c r="I5" s="6"/>
      <c r="J5" s="6"/>
      <c r="K5" s="6"/>
      <c r="L5" s="6"/>
    </row>
    <row r="6" spans="1:12" ht="16.5" x14ac:dyDescent="0.35">
      <c r="A6" s="6"/>
      <c r="B6" s="43" t="s">
        <v>274</v>
      </c>
      <c r="C6" s="90">
        <v>250000</v>
      </c>
      <c r="D6" s="43" t="s">
        <v>275</v>
      </c>
      <c r="E6" s="6"/>
      <c r="F6" s="6"/>
      <c r="G6" s="6"/>
      <c r="H6" s="6"/>
      <c r="I6" s="6"/>
      <c r="J6" s="6"/>
      <c r="K6" s="6"/>
      <c r="L6" s="6"/>
    </row>
    <row r="7" spans="1:12" ht="16.5" x14ac:dyDescent="0.35">
      <c r="A7" s="6"/>
      <c r="B7" s="43" t="s">
        <v>276</v>
      </c>
      <c r="C7" s="90">
        <v>8</v>
      </c>
      <c r="D7" s="43" t="s">
        <v>277</v>
      </c>
      <c r="E7" s="6"/>
      <c r="F7" s="6"/>
      <c r="G7" s="6"/>
      <c r="H7" s="6"/>
      <c r="I7" s="6"/>
      <c r="J7" s="6"/>
      <c r="K7" s="6"/>
      <c r="L7" s="6"/>
    </row>
    <row r="8" spans="1:12" ht="16.5" x14ac:dyDescent="0.35">
      <c r="A8" s="6"/>
      <c r="B8" s="43" t="s">
        <v>278</v>
      </c>
      <c r="C8" s="90">
        <v>700000</v>
      </c>
      <c r="D8" s="43" t="s">
        <v>279</v>
      </c>
      <c r="E8" s="6"/>
      <c r="F8" s="6"/>
      <c r="G8" s="6"/>
      <c r="H8" s="6"/>
      <c r="I8" s="6"/>
      <c r="J8" s="6"/>
      <c r="K8" s="6"/>
      <c r="L8" s="6"/>
    </row>
    <row r="9" spans="1:12" ht="16.5" x14ac:dyDescent="0.35">
      <c r="A9" s="6"/>
      <c r="B9" s="43" t="s">
        <v>280</v>
      </c>
      <c r="C9" s="90">
        <v>5000</v>
      </c>
      <c r="D9" s="91" t="s">
        <v>281</v>
      </c>
      <c r="E9" s="6"/>
      <c r="F9" s="6"/>
      <c r="G9" s="6"/>
      <c r="H9" s="6"/>
      <c r="I9" s="6"/>
      <c r="J9" s="6"/>
      <c r="K9" s="6"/>
      <c r="L9" s="6"/>
    </row>
    <row r="10" spans="1:12" ht="16.5" x14ac:dyDescent="0.35">
      <c r="A10" s="6"/>
      <c r="B10" s="43" t="s">
        <v>282</v>
      </c>
      <c r="C10" s="90">
        <v>30</v>
      </c>
      <c r="D10" s="43" t="s">
        <v>283</v>
      </c>
      <c r="E10" s="6"/>
      <c r="F10" s="6"/>
      <c r="G10" s="6"/>
      <c r="H10" s="6"/>
      <c r="I10" s="6"/>
      <c r="J10" s="6"/>
      <c r="K10" s="6"/>
      <c r="L10" s="6"/>
    </row>
    <row r="11" spans="1:12" ht="16.5" x14ac:dyDescent="0.35">
      <c r="A11" s="6"/>
      <c r="B11" s="43" t="s">
        <v>284</v>
      </c>
      <c r="C11" s="90">
        <v>95</v>
      </c>
      <c r="D11" s="43" t="s">
        <v>285</v>
      </c>
      <c r="E11" s="6"/>
      <c r="F11" s="6"/>
      <c r="G11" s="6"/>
      <c r="H11" s="6"/>
      <c r="I11" s="6"/>
      <c r="J11" s="6"/>
      <c r="K11" s="6"/>
      <c r="L11" s="6"/>
    </row>
    <row r="12" spans="1:12" ht="16.5" x14ac:dyDescent="0.35">
      <c r="A12" s="6"/>
      <c r="B12" s="43" t="s">
        <v>286</v>
      </c>
      <c r="C12" s="90">
        <v>1</v>
      </c>
      <c r="D12" s="43" t="s">
        <v>287</v>
      </c>
      <c r="E12" s="6"/>
      <c r="F12" s="6"/>
      <c r="G12" s="6"/>
      <c r="H12" s="6"/>
      <c r="I12" s="6"/>
      <c r="J12" s="6"/>
      <c r="K12" s="6"/>
      <c r="L12" s="6"/>
    </row>
    <row r="13" spans="1:12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6" customFormat="1" x14ac:dyDescent="0.35">
      <c r="B14" s="114" t="s">
        <v>183</v>
      </c>
      <c r="C14" s="114"/>
      <c r="D14" s="114"/>
    </row>
    <row r="15" spans="1:12" ht="16.5" x14ac:dyDescent="0.35">
      <c r="A15" s="6"/>
      <c r="B15" s="43" t="s">
        <v>288</v>
      </c>
      <c r="C15" s="92">
        <f>C5*C6+C7*C8</f>
        <v>6350000</v>
      </c>
      <c r="D15" s="43" t="s">
        <v>289</v>
      </c>
      <c r="E15" s="6"/>
      <c r="F15" s="6"/>
      <c r="G15" s="6"/>
      <c r="H15" s="6"/>
      <c r="I15" s="6"/>
      <c r="J15" s="6"/>
      <c r="K15" s="6"/>
      <c r="L15" s="6"/>
    </row>
    <row r="16" spans="1:12" ht="16.5" x14ac:dyDescent="0.35">
      <c r="A16" s="6"/>
      <c r="B16" s="43" t="s">
        <v>290</v>
      </c>
      <c r="C16" s="92">
        <f>C6+C9*C10/100/C11*100*1163</f>
        <v>2086315.789473684</v>
      </c>
      <c r="D16" s="43" t="s">
        <v>291</v>
      </c>
      <c r="E16" s="6"/>
      <c r="F16" s="6"/>
      <c r="G16" s="6"/>
      <c r="H16" s="6"/>
      <c r="I16" s="6"/>
      <c r="J16" s="6"/>
      <c r="K16" s="6"/>
      <c r="L16" s="6"/>
    </row>
    <row r="17" spans="1:12" ht="16.5" x14ac:dyDescent="0.35">
      <c r="A17" s="6"/>
      <c r="B17" s="43" t="s">
        <v>292</v>
      </c>
      <c r="C17" s="92">
        <f>C8*(1-C10/100)</f>
        <v>489999.99999999994</v>
      </c>
      <c r="D17" s="91" t="s">
        <v>293</v>
      </c>
      <c r="E17" s="6"/>
      <c r="F17" s="6"/>
      <c r="G17" s="6"/>
      <c r="H17" s="6"/>
      <c r="I17" s="6"/>
      <c r="J17" s="6"/>
      <c r="K17" s="6"/>
      <c r="L17" s="6"/>
    </row>
    <row r="18" spans="1:12" ht="16.5" x14ac:dyDescent="0.35">
      <c r="A18" s="6"/>
      <c r="B18" s="43" t="s">
        <v>294</v>
      </c>
      <c r="C18" s="92">
        <f>C17*C7+C16*C12</f>
        <v>6006315.7894736836</v>
      </c>
      <c r="D18" s="43" t="s">
        <v>295</v>
      </c>
      <c r="E18" s="6"/>
      <c r="F18" s="6"/>
      <c r="G18" s="6"/>
      <c r="H18" s="6"/>
      <c r="I18" s="6"/>
      <c r="J18" s="6"/>
      <c r="K18" s="6"/>
      <c r="L18" s="6"/>
    </row>
    <row r="19" spans="1:12" x14ac:dyDescent="0.35">
      <c r="A19" s="6"/>
      <c r="B19" s="43" t="s">
        <v>2</v>
      </c>
      <c r="C19" s="92">
        <f>C15-C18</f>
        <v>343684.21052631643</v>
      </c>
      <c r="D19" s="91" t="s">
        <v>296</v>
      </c>
      <c r="E19" s="6"/>
      <c r="F19" s="6"/>
      <c r="G19" s="6"/>
      <c r="H19" s="6"/>
      <c r="I19" s="6"/>
      <c r="J19" s="6"/>
      <c r="K19" s="6"/>
      <c r="L19" s="6"/>
    </row>
    <row r="20" spans="1:12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35">
      <c r="F21" s="6"/>
      <c r="G21" s="6"/>
      <c r="H21" s="6"/>
      <c r="I21" s="6"/>
      <c r="J21" s="6"/>
      <c r="K21" s="6"/>
      <c r="L21" s="6"/>
    </row>
    <row r="22" spans="1:12" x14ac:dyDescent="0.35">
      <c r="F22" s="6"/>
      <c r="G22" s="6"/>
      <c r="H22" s="6"/>
      <c r="I22" s="6"/>
      <c r="J22" s="6"/>
      <c r="K22" s="6"/>
      <c r="L22" s="6"/>
    </row>
    <row r="23" spans="1:12" s="6" customFormat="1" x14ac:dyDescent="0.35">
      <c r="A23"/>
      <c r="B23"/>
      <c r="C23"/>
      <c r="D23"/>
      <c r="E23"/>
    </row>
  </sheetData>
  <mergeCells count="3">
    <mergeCell ref="B2:D2"/>
    <mergeCell ref="B4:D4"/>
    <mergeCell ref="B14:D14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61"/>
  <sheetViews>
    <sheetView topLeftCell="A13" workbookViewId="0">
      <selection activeCell="B5" sqref="B5"/>
    </sheetView>
  </sheetViews>
  <sheetFormatPr defaultRowHeight="14.5" x14ac:dyDescent="0.35"/>
  <sheetData>
    <row r="1" spans="2:3" ht="15" thickBot="1" x14ac:dyDescent="0.4"/>
    <row r="2" spans="2:3" ht="16" thickBot="1" x14ac:dyDescent="0.4">
      <c r="B2" s="1">
        <v>11.5</v>
      </c>
      <c r="C2" s="2">
        <v>4.21</v>
      </c>
    </row>
    <row r="3" spans="2:3" ht="16" thickBot="1" x14ac:dyDescent="0.4">
      <c r="B3" s="3">
        <v>11.4</v>
      </c>
      <c r="C3" s="4">
        <v>4.24</v>
      </c>
    </row>
    <row r="4" spans="2:3" ht="16" thickBot="1" x14ac:dyDescent="0.4">
      <c r="B4" s="3">
        <v>11.3</v>
      </c>
      <c r="C4" s="4">
        <v>4.26</v>
      </c>
    </row>
    <row r="5" spans="2:3" ht="16" thickBot="1" x14ac:dyDescent="0.4">
      <c r="B5" s="3">
        <v>11.2</v>
      </c>
      <c r="C5" s="4">
        <v>4.28</v>
      </c>
    </row>
    <row r="6" spans="2:3" ht="16" thickBot="1" x14ac:dyDescent="0.4">
      <c r="B6" s="3">
        <v>11.1</v>
      </c>
      <c r="C6" s="4">
        <v>4.3</v>
      </c>
    </row>
    <row r="7" spans="2:3" ht="16" thickBot="1" x14ac:dyDescent="0.4">
      <c r="B7" s="3">
        <v>11</v>
      </c>
      <c r="C7" s="4">
        <v>4.3499999999999996</v>
      </c>
    </row>
    <row r="8" spans="2:3" ht="16" thickBot="1" x14ac:dyDescent="0.4">
      <c r="B8" s="3">
        <v>10.9</v>
      </c>
      <c r="C8" s="4">
        <v>4.4000000000000004</v>
      </c>
    </row>
    <row r="9" spans="2:3" ht="16" thickBot="1" x14ac:dyDescent="0.4">
      <c r="B9" s="3">
        <v>10.8</v>
      </c>
      <c r="C9" s="4">
        <v>4.43</v>
      </c>
    </row>
    <row r="10" spans="2:3" ht="16" thickBot="1" x14ac:dyDescent="0.4">
      <c r="B10" s="3">
        <v>10.7</v>
      </c>
      <c r="C10" s="4">
        <v>4.45</v>
      </c>
    </row>
    <row r="11" spans="2:3" ht="16" thickBot="1" x14ac:dyDescent="0.4">
      <c r="B11" s="3">
        <v>10.6</v>
      </c>
      <c r="C11" s="4">
        <v>4.4800000000000004</v>
      </c>
    </row>
    <row r="12" spans="2:3" ht="16" thickBot="1" x14ac:dyDescent="0.4">
      <c r="B12" s="3">
        <v>10.5</v>
      </c>
      <c r="C12" s="4">
        <v>4.5</v>
      </c>
    </row>
    <row r="13" spans="2:3" ht="16" thickBot="1" x14ac:dyDescent="0.4">
      <c r="B13" s="3">
        <v>10.4</v>
      </c>
      <c r="C13" s="4">
        <v>4.53</v>
      </c>
    </row>
    <row r="14" spans="2:3" ht="16" thickBot="1" x14ac:dyDescent="0.4">
      <c r="B14" s="3">
        <v>10.3</v>
      </c>
      <c r="C14" s="4">
        <v>4.57</v>
      </c>
    </row>
    <row r="15" spans="2:3" ht="16" thickBot="1" x14ac:dyDescent="0.4">
      <c r="B15" s="3">
        <v>10.199999999999999</v>
      </c>
      <c r="C15" s="4">
        <v>4.5999999999999996</v>
      </c>
    </row>
    <row r="16" spans="2:3" ht="16" thickBot="1" x14ac:dyDescent="0.4">
      <c r="B16" s="3">
        <v>10.1</v>
      </c>
      <c r="C16" s="4">
        <v>4.63</v>
      </c>
    </row>
    <row r="17" spans="2:3" ht="16" thickBot="1" x14ac:dyDescent="0.4">
      <c r="B17" s="3">
        <v>10</v>
      </c>
      <c r="C17" s="4">
        <v>4.67</v>
      </c>
    </row>
    <row r="18" spans="2:3" ht="16" thickBot="1" x14ac:dyDescent="0.4">
      <c r="B18" s="3">
        <v>9.9</v>
      </c>
      <c r="C18" s="4">
        <v>4.7</v>
      </c>
    </row>
    <row r="19" spans="2:3" ht="16" thickBot="1" x14ac:dyDescent="0.4">
      <c r="B19" s="3">
        <v>9.8000000000000007</v>
      </c>
      <c r="C19" s="4">
        <v>4.75</v>
      </c>
    </row>
    <row r="20" spans="2:3" ht="16" thickBot="1" x14ac:dyDescent="0.4">
      <c r="B20" s="3">
        <v>9.6999999999999993</v>
      </c>
      <c r="C20" s="4">
        <v>4.8</v>
      </c>
    </row>
    <row r="21" spans="2:3" ht="16" thickBot="1" x14ac:dyDescent="0.4">
      <c r="B21" s="3">
        <v>9.6</v>
      </c>
      <c r="C21" s="4">
        <v>4.84</v>
      </c>
    </row>
    <row r="22" spans="2:3" ht="16" thickBot="1" x14ac:dyDescent="0.4">
      <c r="B22" s="2">
        <v>9.5</v>
      </c>
      <c r="C22" s="2">
        <v>4.88</v>
      </c>
    </row>
    <row r="23" spans="2:3" ht="16" thickBot="1" x14ac:dyDescent="0.4">
      <c r="B23" s="4">
        <v>9.4</v>
      </c>
      <c r="C23" s="4">
        <v>4.93</v>
      </c>
    </row>
    <row r="24" spans="2:3" ht="16" thickBot="1" x14ac:dyDescent="0.4">
      <c r="B24" s="4">
        <v>9.3000000000000007</v>
      </c>
      <c r="C24" s="4">
        <v>4.97</v>
      </c>
    </row>
    <row r="25" spans="2:3" ht="16" thickBot="1" x14ac:dyDescent="0.4">
      <c r="B25" s="4">
        <v>9.1999999999999993</v>
      </c>
      <c r="C25" s="4">
        <v>5.0199999999999996</v>
      </c>
    </row>
    <row r="26" spans="2:3" ht="16" thickBot="1" x14ac:dyDescent="0.4">
      <c r="B26" s="4">
        <v>9.1</v>
      </c>
      <c r="C26" s="4">
        <v>5.07</v>
      </c>
    </row>
    <row r="27" spans="2:3" ht="16" thickBot="1" x14ac:dyDescent="0.4">
      <c r="B27" s="4">
        <v>9</v>
      </c>
      <c r="C27" s="4">
        <v>5.0999999999999996</v>
      </c>
    </row>
    <row r="28" spans="2:3" ht="16" thickBot="1" x14ac:dyDescent="0.4">
      <c r="B28" s="4">
        <v>8.9</v>
      </c>
      <c r="C28" s="4">
        <v>5.13</v>
      </c>
    </row>
    <row r="29" spans="2:3" ht="16" thickBot="1" x14ac:dyDescent="0.4">
      <c r="B29" s="4">
        <v>8.8000000000000007</v>
      </c>
      <c r="C29" s="4">
        <v>5.17</v>
      </c>
    </row>
    <row r="30" spans="2:3" ht="16" thickBot="1" x14ac:dyDescent="0.4">
      <c r="B30" s="4">
        <v>8.6999999999999993</v>
      </c>
      <c r="C30" s="4">
        <v>5.22</v>
      </c>
    </row>
    <row r="31" spans="2:3" ht="16" thickBot="1" x14ac:dyDescent="0.4">
      <c r="B31" s="4">
        <v>8.6</v>
      </c>
      <c r="C31" s="4">
        <v>5.27</v>
      </c>
    </row>
    <row r="32" spans="2:3" ht="16" thickBot="1" x14ac:dyDescent="0.4">
      <c r="B32" s="4">
        <v>8.5</v>
      </c>
      <c r="C32" s="4">
        <v>5.3</v>
      </c>
    </row>
    <row r="33" spans="2:3" ht="16" thickBot="1" x14ac:dyDescent="0.4">
      <c r="B33" s="4">
        <v>8.4</v>
      </c>
      <c r="C33" s="4">
        <v>5.35</v>
      </c>
    </row>
    <row r="34" spans="2:3" ht="16" thickBot="1" x14ac:dyDescent="0.4">
      <c r="B34" s="4">
        <v>8.3000000000000007</v>
      </c>
      <c r="C34" s="4">
        <v>5.4</v>
      </c>
    </row>
    <row r="35" spans="2:3" ht="16" thickBot="1" x14ac:dyDescent="0.4">
      <c r="B35" s="4">
        <v>8.1999999999999993</v>
      </c>
      <c r="C35" s="4">
        <v>5.45</v>
      </c>
    </row>
    <row r="36" spans="2:3" ht="16" thickBot="1" x14ac:dyDescent="0.4">
      <c r="B36" s="4">
        <v>8.1</v>
      </c>
      <c r="C36" s="4">
        <v>5.5</v>
      </c>
    </row>
    <row r="37" spans="2:3" ht="16" thickBot="1" x14ac:dyDescent="0.4">
      <c r="B37" s="4">
        <v>8</v>
      </c>
      <c r="C37" s="4">
        <v>5.57</v>
      </c>
    </row>
    <row r="38" spans="2:3" ht="16" thickBot="1" x14ac:dyDescent="0.4">
      <c r="B38" s="4">
        <v>7.9</v>
      </c>
      <c r="C38" s="4">
        <v>5.62</v>
      </c>
    </row>
    <row r="39" spans="2:3" ht="16" thickBot="1" x14ac:dyDescent="0.4">
      <c r="B39" s="4">
        <v>7.8</v>
      </c>
      <c r="C39" s="4">
        <v>5.68</v>
      </c>
    </row>
    <row r="40" spans="2:3" ht="16" thickBot="1" x14ac:dyDescent="0.4">
      <c r="B40" s="4">
        <v>7.7</v>
      </c>
      <c r="C40" s="4">
        <v>5.75</v>
      </c>
    </row>
    <row r="41" spans="2:3" ht="16" thickBot="1" x14ac:dyDescent="0.4">
      <c r="B41" s="4">
        <v>7.6</v>
      </c>
      <c r="C41" s="4">
        <v>5.8</v>
      </c>
    </row>
    <row r="42" spans="2:3" ht="16" thickBot="1" x14ac:dyDescent="0.4">
      <c r="B42" s="2">
        <v>7.5</v>
      </c>
      <c r="C42" s="2">
        <v>5.85</v>
      </c>
    </row>
    <row r="43" spans="2:3" ht="16" thickBot="1" x14ac:dyDescent="0.4">
      <c r="B43" s="4">
        <v>7.4</v>
      </c>
      <c r="C43" s="4">
        <v>5.9</v>
      </c>
    </row>
    <row r="44" spans="2:3" ht="16" thickBot="1" x14ac:dyDescent="0.4">
      <c r="B44" s="4">
        <v>7.3</v>
      </c>
      <c r="C44" s="4">
        <v>6</v>
      </c>
    </row>
    <row r="45" spans="2:3" ht="16" thickBot="1" x14ac:dyDescent="0.4">
      <c r="B45" s="4">
        <v>7.2</v>
      </c>
      <c r="C45" s="4">
        <v>6.05</v>
      </c>
    </row>
    <row r="46" spans="2:3" ht="16" thickBot="1" x14ac:dyDescent="0.4">
      <c r="B46" s="4">
        <v>7.1</v>
      </c>
      <c r="C46" s="4">
        <v>6.1</v>
      </c>
    </row>
    <row r="47" spans="2:3" ht="16" thickBot="1" x14ac:dyDescent="0.4">
      <c r="B47" s="4">
        <v>7</v>
      </c>
      <c r="C47" s="4">
        <v>6.22</v>
      </c>
    </row>
    <row r="48" spans="2:3" ht="16" thickBot="1" x14ac:dyDescent="0.4">
      <c r="B48" s="4">
        <v>6.9</v>
      </c>
      <c r="C48" s="4">
        <v>6.35</v>
      </c>
    </row>
    <row r="49" spans="2:3" ht="16" thickBot="1" x14ac:dyDescent="0.4">
      <c r="B49" s="4">
        <v>6.8</v>
      </c>
      <c r="C49" s="4">
        <v>6.45</v>
      </c>
    </row>
    <row r="50" spans="2:3" ht="16" thickBot="1" x14ac:dyDescent="0.4">
      <c r="B50" s="4">
        <v>6.7</v>
      </c>
      <c r="C50" s="4">
        <v>6.5</v>
      </c>
    </row>
    <row r="51" spans="2:3" ht="16" thickBot="1" x14ac:dyDescent="0.4">
      <c r="B51" s="4">
        <v>6.6</v>
      </c>
      <c r="C51" s="4">
        <v>6.55</v>
      </c>
    </row>
    <row r="52" spans="2:3" ht="16" thickBot="1" x14ac:dyDescent="0.4">
      <c r="B52" s="4">
        <v>6.5</v>
      </c>
      <c r="C52" s="4">
        <v>6.65</v>
      </c>
    </row>
    <row r="53" spans="2:3" ht="16" thickBot="1" x14ac:dyDescent="0.4">
      <c r="B53" s="4">
        <v>6.4</v>
      </c>
      <c r="C53" s="4">
        <v>6.7</v>
      </c>
    </row>
    <row r="54" spans="2:3" ht="16" thickBot="1" x14ac:dyDescent="0.4">
      <c r="B54" s="4">
        <v>6.3</v>
      </c>
      <c r="C54" s="4">
        <v>6.8</v>
      </c>
    </row>
    <row r="55" spans="2:3" ht="16" thickBot="1" x14ac:dyDescent="0.4">
      <c r="B55" s="4">
        <v>6.2</v>
      </c>
      <c r="C55" s="4">
        <v>6.95</v>
      </c>
    </row>
    <row r="56" spans="2:3" ht="16" thickBot="1" x14ac:dyDescent="0.4">
      <c r="B56" s="4">
        <v>6.1</v>
      </c>
      <c r="C56" s="4">
        <v>7.05</v>
      </c>
    </row>
    <row r="57" spans="2:3" ht="16" thickBot="1" x14ac:dyDescent="0.4">
      <c r="B57" s="4">
        <v>6</v>
      </c>
      <c r="C57" s="4">
        <v>7.15</v>
      </c>
    </row>
    <row r="58" spans="2:3" ht="16" thickBot="1" x14ac:dyDescent="0.4">
      <c r="B58" s="4">
        <v>5.9</v>
      </c>
      <c r="C58" s="4">
        <v>7.25</v>
      </c>
    </row>
    <row r="59" spans="2:3" ht="16" thickBot="1" x14ac:dyDescent="0.4">
      <c r="B59" s="4">
        <v>5.8</v>
      </c>
      <c r="C59" s="4">
        <v>7.4</v>
      </c>
    </row>
    <row r="60" spans="2:3" ht="16" thickBot="1" x14ac:dyDescent="0.4">
      <c r="B60" s="4">
        <v>5.7</v>
      </c>
      <c r="C60" s="4">
        <v>7.45</v>
      </c>
    </row>
    <row r="61" spans="2:3" ht="16" thickBot="1" x14ac:dyDescent="0.4">
      <c r="B61" s="4">
        <v>5.6</v>
      </c>
      <c r="C61" s="4">
        <v>7.55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view="pageBreakPreview" zoomScaleNormal="100" zoomScaleSheetLayoutView="100" workbookViewId="0">
      <selection activeCell="C13" sqref="C13"/>
    </sheetView>
  </sheetViews>
  <sheetFormatPr defaultColWidth="9.08984375" defaultRowHeight="18.75" customHeight="1" x14ac:dyDescent="0.35"/>
  <cols>
    <col min="1" max="1" width="4.36328125" style="5" customWidth="1"/>
    <col min="2" max="2" width="12.90625" style="5" customWidth="1"/>
    <col min="3" max="3" width="31.6328125" style="5" bestFit="1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34.5" customHeight="1" x14ac:dyDescent="0.35">
      <c r="A2" s="6"/>
      <c r="B2" s="108" t="s">
        <v>0</v>
      </c>
      <c r="C2" s="108"/>
      <c r="D2" s="108"/>
      <c r="E2" s="6"/>
    </row>
    <row r="3" spans="1:5" ht="18.75" customHeight="1" x14ac:dyDescent="0.35">
      <c r="A3" s="6"/>
      <c r="B3" s="22"/>
      <c r="C3" s="22"/>
      <c r="D3" s="22"/>
      <c r="E3" s="6"/>
    </row>
    <row r="4" spans="1:5" ht="18.75" customHeight="1" thickBot="1" x14ac:dyDescent="0.4">
      <c r="A4" s="6"/>
      <c r="B4" s="21" t="s">
        <v>182</v>
      </c>
      <c r="C4" s="21"/>
      <c r="D4" s="21"/>
      <c r="E4" s="6"/>
    </row>
    <row r="5" spans="1:5" ht="18.75" customHeight="1" x14ac:dyDescent="0.35">
      <c r="A5" s="6"/>
      <c r="B5" s="23" t="s">
        <v>11</v>
      </c>
      <c r="C5" s="47">
        <v>209</v>
      </c>
      <c r="D5" s="24" t="s">
        <v>6</v>
      </c>
      <c r="E5" s="6"/>
    </row>
    <row r="6" spans="1:5" ht="18.75" customHeight="1" x14ac:dyDescent="0.35">
      <c r="A6" s="6"/>
      <c r="B6" s="25" t="s">
        <v>10</v>
      </c>
      <c r="C6" s="48">
        <v>0.86</v>
      </c>
      <c r="D6" s="26" t="s">
        <v>4</v>
      </c>
      <c r="E6" s="6"/>
    </row>
    <row r="7" spans="1:5" ht="18.75" customHeight="1" x14ac:dyDescent="0.35">
      <c r="A7" s="6"/>
      <c r="B7" s="25" t="s">
        <v>12</v>
      </c>
      <c r="C7" s="48">
        <v>0.92</v>
      </c>
      <c r="D7" s="26" t="s">
        <v>3</v>
      </c>
      <c r="E7" s="6"/>
    </row>
    <row r="8" spans="1:5" ht="18.75" customHeight="1" x14ac:dyDescent="0.35">
      <c r="A8" s="6"/>
      <c r="B8" s="23" t="s">
        <v>212</v>
      </c>
      <c r="C8" s="49">
        <v>4200</v>
      </c>
      <c r="D8" s="26" t="s">
        <v>8</v>
      </c>
      <c r="E8" s="6"/>
    </row>
    <row r="9" spans="1:5" ht="18.75" customHeight="1" x14ac:dyDescent="0.35">
      <c r="A9" s="6"/>
      <c r="B9" s="23" t="s">
        <v>213</v>
      </c>
      <c r="C9" s="48">
        <v>7.33</v>
      </c>
      <c r="D9" s="26" t="s">
        <v>7</v>
      </c>
      <c r="E9" s="6"/>
    </row>
    <row r="10" spans="1:5" ht="18.75" customHeight="1" x14ac:dyDescent="0.35">
      <c r="A10" s="6"/>
      <c r="B10" s="28"/>
      <c r="C10" s="29"/>
      <c r="D10" s="22"/>
      <c r="E10" s="6"/>
    </row>
    <row r="11" spans="1:5" ht="18.75" customHeight="1" thickBot="1" x14ac:dyDescent="0.4">
      <c r="A11" s="6"/>
      <c r="B11" s="21" t="s">
        <v>183</v>
      </c>
      <c r="C11" s="21"/>
      <c r="D11" s="21"/>
      <c r="E11" s="6"/>
    </row>
    <row r="12" spans="1:5" ht="18.75" customHeight="1" x14ac:dyDescent="0.35">
      <c r="A12" s="6"/>
      <c r="B12" s="23" t="s">
        <v>13</v>
      </c>
      <c r="C12" s="50">
        <f>ROUND(C5*C6/C7,1)</f>
        <v>195.4</v>
      </c>
      <c r="D12" s="26" t="s">
        <v>5</v>
      </c>
      <c r="E12" s="7"/>
    </row>
    <row r="13" spans="1:5" ht="18.75" customHeight="1" x14ac:dyDescent="0.35">
      <c r="A13" s="6"/>
      <c r="B13" s="25" t="s">
        <v>1</v>
      </c>
      <c r="C13" s="60">
        <f>C5-C12</f>
        <v>13.599999999999994</v>
      </c>
      <c r="D13" s="26" t="s">
        <v>214</v>
      </c>
      <c r="E13" s="6"/>
    </row>
    <row r="14" spans="1:5" ht="18.75" customHeight="1" x14ac:dyDescent="0.35">
      <c r="A14" s="6"/>
      <c r="B14" s="23" t="s">
        <v>2</v>
      </c>
      <c r="C14" s="51">
        <f>C13*C8*C9</f>
        <v>418689.59999999986</v>
      </c>
      <c r="D14" s="26" t="s">
        <v>267</v>
      </c>
      <c r="E14" s="6"/>
    </row>
    <row r="15" spans="1:5" ht="18.75" customHeight="1" x14ac:dyDescent="0.35">
      <c r="A15" s="6"/>
      <c r="B15" s="6"/>
      <c r="C15" s="6"/>
      <c r="D15" s="6"/>
      <c r="E15" s="6"/>
    </row>
  </sheetData>
  <mergeCells count="1">
    <mergeCell ref="B2:D2"/>
  </mergeCells>
  <pageMargins left="0.7" right="0.7" top="0.75" bottom="0.75" header="0.3" footer="0.3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11"/>
  <sheetViews>
    <sheetView view="pageBreakPreview" zoomScaleNormal="100" zoomScaleSheetLayoutView="100" workbookViewId="0">
      <selection activeCell="C19" sqref="C19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35.15" customHeight="1" x14ac:dyDescent="0.35">
      <c r="A2" s="6"/>
      <c r="B2" s="108" t="s">
        <v>28</v>
      </c>
      <c r="C2" s="108"/>
      <c r="D2" s="108"/>
      <c r="E2" s="6"/>
    </row>
    <row r="3" spans="1:5" ht="18.75" customHeight="1" x14ac:dyDescent="0.35">
      <c r="A3" s="6"/>
      <c r="B3" s="33"/>
      <c r="C3" s="33"/>
      <c r="D3" s="33"/>
      <c r="E3" s="6"/>
    </row>
    <row r="4" spans="1:5" ht="18.75" customHeight="1" thickBot="1" x14ac:dyDescent="0.4">
      <c r="A4" s="6"/>
      <c r="B4" s="21" t="s">
        <v>182</v>
      </c>
      <c r="C4" s="34"/>
      <c r="D4" s="34"/>
      <c r="E4" s="6"/>
    </row>
    <row r="5" spans="1:5" ht="18.75" customHeight="1" x14ac:dyDescent="0.35">
      <c r="A5" s="6"/>
      <c r="B5" s="40" t="s">
        <v>31</v>
      </c>
      <c r="C5" s="52">
        <v>0.86699999999999999</v>
      </c>
      <c r="D5" s="43" t="s">
        <v>29</v>
      </c>
      <c r="E5" s="6"/>
    </row>
    <row r="6" spans="1:5" ht="18.75" customHeight="1" x14ac:dyDescent="0.35">
      <c r="A6" s="6"/>
      <c r="B6" s="40" t="s">
        <v>32</v>
      </c>
      <c r="C6" s="53">
        <v>10440</v>
      </c>
      <c r="D6" s="43" t="s">
        <v>46</v>
      </c>
      <c r="E6" s="6"/>
    </row>
    <row r="7" spans="1:5" ht="18.75" customHeight="1" x14ac:dyDescent="0.35">
      <c r="A7" s="6"/>
      <c r="B7" s="40" t="s">
        <v>33</v>
      </c>
      <c r="C7" s="53">
        <v>0.92</v>
      </c>
      <c r="D7" s="43" t="s">
        <v>30</v>
      </c>
      <c r="E7" s="6"/>
    </row>
    <row r="8" spans="1:5" ht="18.75" customHeight="1" x14ac:dyDescent="0.35">
      <c r="A8" s="6"/>
      <c r="B8" s="41" t="s">
        <v>34</v>
      </c>
      <c r="C8" s="53">
        <v>33.799999999999997</v>
      </c>
      <c r="D8" s="43" t="s">
        <v>36</v>
      </c>
      <c r="E8" s="6"/>
    </row>
    <row r="9" spans="1:5" ht="18.75" customHeight="1" x14ac:dyDescent="0.35">
      <c r="A9" s="6"/>
      <c r="B9" s="40" t="s">
        <v>17</v>
      </c>
      <c r="C9" s="53">
        <v>4200</v>
      </c>
      <c r="D9" s="43" t="s">
        <v>25</v>
      </c>
      <c r="E9" s="6"/>
    </row>
    <row r="10" spans="1:5" ht="18.75" customHeight="1" x14ac:dyDescent="0.35">
      <c r="A10" s="6"/>
      <c r="B10" s="41" t="s">
        <v>35</v>
      </c>
      <c r="C10" s="53">
        <v>7.33</v>
      </c>
      <c r="D10" s="43" t="s">
        <v>48</v>
      </c>
      <c r="E10" s="6"/>
    </row>
    <row r="11" spans="1:5" ht="18.75" customHeight="1" x14ac:dyDescent="0.35">
      <c r="A11" s="6"/>
      <c r="B11" s="33"/>
      <c r="C11" s="33"/>
      <c r="D11" s="33"/>
      <c r="E11" s="6"/>
    </row>
    <row r="12" spans="1:5" ht="18.75" customHeight="1" thickBot="1" x14ac:dyDescent="0.4">
      <c r="A12" s="6"/>
      <c r="B12" s="21" t="s">
        <v>183</v>
      </c>
      <c r="C12" s="34"/>
      <c r="D12" s="34"/>
      <c r="E12" s="6"/>
    </row>
    <row r="13" spans="1:5" ht="18.75" customHeight="1" x14ac:dyDescent="0.35">
      <c r="A13" s="6"/>
      <c r="B13" s="42" t="s">
        <v>230</v>
      </c>
      <c r="C13" s="57">
        <f>1/29.3/C5</f>
        <v>3.9365274316914077E-2</v>
      </c>
      <c r="D13" s="43" t="s">
        <v>39</v>
      </c>
      <c r="E13" s="6"/>
    </row>
    <row r="14" spans="1:5" ht="18.75" customHeight="1" x14ac:dyDescent="0.35">
      <c r="A14" s="6"/>
      <c r="B14" s="40" t="s">
        <v>37</v>
      </c>
      <c r="C14" s="89">
        <f>C6*ROUND(C13,3)</f>
        <v>407.16</v>
      </c>
      <c r="D14" s="43" t="s">
        <v>38</v>
      </c>
      <c r="E14" s="6"/>
    </row>
    <row r="15" spans="1:5" ht="18.75" customHeight="1" x14ac:dyDescent="0.35">
      <c r="A15" s="6"/>
      <c r="B15" s="40" t="s">
        <v>40</v>
      </c>
      <c r="C15" s="56">
        <f>ROUND(C14*29.3/C8,0)</f>
        <v>353</v>
      </c>
      <c r="D15" s="43" t="s">
        <v>47</v>
      </c>
      <c r="E15" s="6"/>
    </row>
    <row r="16" spans="1:5" ht="18.75" customHeight="1" x14ac:dyDescent="0.35">
      <c r="A16" s="6"/>
      <c r="B16" s="40" t="s">
        <v>41</v>
      </c>
      <c r="C16" s="93">
        <f>1/29.3/C7</f>
        <v>3.7097492209526635E-2</v>
      </c>
      <c r="D16" s="43" t="s">
        <v>42</v>
      </c>
      <c r="E16" s="6"/>
    </row>
    <row r="17" spans="1:5" ht="18.75" customHeight="1" x14ac:dyDescent="0.35">
      <c r="A17" s="6"/>
      <c r="B17" s="40" t="s">
        <v>43</v>
      </c>
      <c r="C17" s="58">
        <f>C6*ROUND(C16,3)</f>
        <v>386.28</v>
      </c>
      <c r="D17" s="43" t="s">
        <v>44</v>
      </c>
      <c r="E17" s="6"/>
    </row>
    <row r="18" spans="1:5" ht="18.75" customHeight="1" x14ac:dyDescent="0.35">
      <c r="A18" s="6"/>
      <c r="B18" s="40" t="s">
        <v>45</v>
      </c>
      <c r="C18" s="61">
        <f>ROUND(C17*29.3/C8,0)</f>
        <v>335</v>
      </c>
      <c r="D18" s="43" t="s">
        <v>312</v>
      </c>
      <c r="E18" s="6"/>
    </row>
    <row r="19" spans="1:5" ht="18.75" customHeight="1" x14ac:dyDescent="0.35">
      <c r="A19" s="6"/>
      <c r="B19" s="40" t="s">
        <v>2</v>
      </c>
      <c r="C19" s="51">
        <f>(C15-C18)*C10*C9</f>
        <v>554148</v>
      </c>
      <c r="D19" s="43" t="s">
        <v>266</v>
      </c>
      <c r="E19" s="6"/>
    </row>
    <row r="20" spans="1:5" ht="18.75" customHeight="1" x14ac:dyDescent="0.35">
      <c r="A20" s="6"/>
      <c r="B20" s="6"/>
      <c r="C20" s="6"/>
      <c r="D20" s="6"/>
      <c r="E20" s="6"/>
    </row>
    <row r="24" spans="1:5" ht="18.75" customHeight="1" x14ac:dyDescent="0.35">
      <c r="C24" s="38"/>
    </row>
    <row r="33" spans="1:4" ht="18.75" customHeight="1" x14ac:dyDescent="0.35">
      <c r="A33" s="6"/>
      <c r="B33" s="6"/>
      <c r="C33" s="6"/>
      <c r="D33" s="6"/>
    </row>
    <row r="37" spans="1:4" ht="18.75" customHeight="1" x14ac:dyDescent="0.35">
      <c r="C37" s="21"/>
    </row>
    <row r="46" spans="1:4" ht="18.75" customHeight="1" x14ac:dyDescent="0.35">
      <c r="A46" s="6"/>
      <c r="B46" s="6"/>
      <c r="C46" s="6"/>
      <c r="D46" s="6"/>
    </row>
    <row r="50" spans="1:4" ht="18.75" customHeight="1" x14ac:dyDescent="0.35">
      <c r="C50" s="21"/>
    </row>
    <row r="59" spans="1:4" ht="18.75" customHeight="1" x14ac:dyDescent="0.35">
      <c r="A59" s="6"/>
      <c r="B59" s="6"/>
      <c r="C59" s="6"/>
      <c r="D59" s="6"/>
    </row>
    <row r="63" spans="1:4" ht="18.75" customHeight="1" x14ac:dyDescent="0.35">
      <c r="C63" s="21"/>
    </row>
    <row r="72" spans="1:4" ht="18.75" customHeight="1" x14ac:dyDescent="0.35">
      <c r="A72" s="6"/>
      <c r="B72" s="6"/>
      <c r="C72" s="6"/>
      <c r="D72" s="6"/>
    </row>
    <row r="76" spans="1:4" ht="18.75" customHeight="1" x14ac:dyDescent="0.35">
      <c r="C76" s="21"/>
    </row>
    <row r="85" spans="1:4" ht="18.75" customHeight="1" x14ac:dyDescent="0.35">
      <c r="A85" s="6"/>
      <c r="B85" s="6"/>
      <c r="C85" s="6"/>
      <c r="D85" s="6"/>
    </row>
    <row r="89" spans="1:4" ht="18.75" customHeight="1" x14ac:dyDescent="0.35">
      <c r="C89" s="21"/>
    </row>
    <row r="98" spans="1:4" ht="18.75" customHeight="1" x14ac:dyDescent="0.35">
      <c r="A98" s="6"/>
      <c r="B98" s="6"/>
      <c r="C98" s="6"/>
      <c r="D98" s="6"/>
    </row>
    <row r="102" spans="1:4" ht="18.75" customHeight="1" x14ac:dyDescent="0.35">
      <c r="C102" s="21"/>
    </row>
    <row r="111" spans="1:4" ht="18.75" customHeight="1" x14ac:dyDescent="0.35">
      <c r="A111" s="6"/>
      <c r="B111" s="6"/>
      <c r="C111" s="6"/>
      <c r="D111" s="6"/>
    </row>
  </sheetData>
  <mergeCells count="1">
    <mergeCell ref="B2:D2"/>
  </mergeCells>
  <pageMargins left="0.7" right="0.7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view="pageBreakPreview" zoomScaleNormal="100" zoomScaleSheetLayoutView="100" workbookViewId="0">
      <selection activeCell="D24" sqref="D24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25.5" customHeight="1" x14ac:dyDescent="0.35">
      <c r="A2" s="6"/>
      <c r="B2" s="108" t="s">
        <v>49</v>
      </c>
      <c r="C2" s="108"/>
      <c r="D2" s="108"/>
      <c r="E2" s="6"/>
    </row>
    <row r="3" spans="1:5" ht="18.75" customHeight="1" x14ac:dyDescent="0.35">
      <c r="A3" s="6"/>
      <c r="B3" s="33"/>
      <c r="C3" s="33"/>
      <c r="D3" s="33"/>
      <c r="E3" s="6"/>
    </row>
    <row r="4" spans="1:5" ht="18.75" customHeight="1" thickBot="1" x14ac:dyDescent="0.4">
      <c r="A4" s="6"/>
      <c r="B4" s="21" t="s">
        <v>182</v>
      </c>
      <c r="C4" s="34"/>
      <c r="D4" s="34"/>
      <c r="E4" s="6"/>
    </row>
    <row r="5" spans="1:5" ht="18.75" customHeight="1" x14ac:dyDescent="0.35">
      <c r="A5" s="6"/>
      <c r="B5" s="40" t="s">
        <v>54</v>
      </c>
      <c r="C5" s="52">
        <v>162</v>
      </c>
      <c r="D5" s="43" t="s">
        <v>55</v>
      </c>
      <c r="E5" s="6"/>
    </row>
    <row r="6" spans="1:5" ht="18.75" customHeight="1" x14ac:dyDescent="0.35">
      <c r="A6" s="6"/>
      <c r="B6" s="40" t="s">
        <v>56</v>
      </c>
      <c r="C6" s="53">
        <v>14</v>
      </c>
      <c r="D6" s="43" t="s">
        <v>51</v>
      </c>
      <c r="E6" s="6"/>
    </row>
    <row r="7" spans="1:5" ht="18.75" customHeight="1" x14ac:dyDescent="0.35">
      <c r="A7" s="6"/>
      <c r="B7" s="40" t="s">
        <v>50</v>
      </c>
      <c r="C7" s="53">
        <v>1.17</v>
      </c>
      <c r="D7" s="43" t="s">
        <v>52</v>
      </c>
      <c r="E7" s="6"/>
    </row>
    <row r="8" spans="1:5" ht="18.75" customHeight="1" x14ac:dyDescent="0.35">
      <c r="A8" s="6"/>
      <c r="B8" s="41" t="s">
        <v>57</v>
      </c>
      <c r="C8" s="53">
        <v>9.8000000000000007</v>
      </c>
      <c r="D8" s="43" t="s">
        <v>53</v>
      </c>
      <c r="E8" s="6"/>
    </row>
    <row r="9" spans="1:5" ht="18.75" customHeight="1" x14ac:dyDescent="0.35">
      <c r="A9" s="6"/>
      <c r="B9" s="40" t="s">
        <v>58</v>
      </c>
      <c r="C9" s="53">
        <v>191</v>
      </c>
      <c r="D9" s="43" t="s">
        <v>59</v>
      </c>
      <c r="E9" s="6"/>
    </row>
    <row r="10" spans="1:5" ht="18.75" customHeight="1" x14ac:dyDescent="0.35">
      <c r="A10" s="6"/>
      <c r="B10" s="41" t="s">
        <v>10</v>
      </c>
      <c r="C10" s="53">
        <v>91.4</v>
      </c>
      <c r="D10" s="43" t="s">
        <v>60</v>
      </c>
      <c r="E10" s="6"/>
    </row>
    <row r="11" spans="1:5" ht="18.75" customHeight="1" x14ac:dyDescent="0.35">
      <c r="A11" s="6"/>
      <c r="B11" s="40" t="s">
        <v>17</v>
      </c>
      <c r="C11" s="55">
        <v>4200</v>
      </c>
      <c r="D11" s="43" t="s">
        <v>25</v>
      </c>
      <c r="E11" s="6"/>
    </row>
    <row r="12" spans="1:5" ht="18.75" customHeight="1" x14ac:dyDescent="0.35">
      <c r="A12" s="6"/>
      <c r="B12" s="40" t="s">
        <v>15</v>
      </c>
      <c r="C12" s="53">
        <v>7.33</v>
      </c>
      <c r="D12" s="43" t="s">
        <v>7</v>
      </c>
      <c r="E12" s="6"/>
    </row>
    <row r="13" spans="1:5" ht="18.75" customHeight="1" x14ac:dyDescent="0.35">
      <c r="A13" s="6"/>
      <c r="B13" s="33"/>
      <c r="C13" s="33"/>
      <c r="D13" s="33"/>
      <c r="E13" s="6"/>
    </row>
    <row r="14" spans="1:5" ht="18.75" customHeight="1" thickBot="1" x14ac:dyDescent="0.4">
      <c r="A14" s="6"/>
      <c r="B14" s="21" t="s">
        <v>183</v>
      </c>
      <c r="C14" s="34"/>
      <c r="D14" s="34"/>
      <c r="E14" s="6"/>
    </row>
    <row r="15" spans="1:5" ht="18.75" customHeight="1" x14ac:dyDescent="0.35">
      <c r="A15" s="6"/>
      <c r="B15" s="40" t="s">
        <v>61</v>
      </c>
      <c r="C15" s="66">
        <f>0.01*(C5-C6)*VLOOKUP(C8,Лист5!B2:C61,2,FALSE)</f>
        <v>7.03</v>
      </c>
      <c r="D15" s="43" t="s">
        <v>68</v>
      </c>
      <c r="E15" s="6"/>
    </row>
    <row r="16" spans="1:5" ht="18.75" customHeight="1" x14ac:dyDescent="0.35">
      <c r="A16" s="6"/>
      <c r="B16" s="40" t="s">
        <v>62</v>
      </c>
      <c r="C16" s="58">
        <f>0.01*(C5-120)*VLOOKUP(C8,Лист5!B2:C61,2,FALSE)</f>
        <v>1.9949999999999999</v>
      </c>
      <c r="D16" s="43" t="s">
        <v>69</v>
      </c>
      <c r="E16" s="6"/>
    </row>
    <row r="17" spans="1:5" ht="18.75" customHeight="1" x14ac:dyDescent="0.35">
      <c r="A17" s="6"/>
      <c r="B17" s="40" t="s">
        <v>63</v>
      </c>
      <c r="C17" s="94">
        <f>C10+C16</f>
        <v>93.39500000000001</v>
      </c>
      <c r="D17" s="43" t="s">
        <v>70</v>
      </c>
      <c r="E17" s="6"/>
    </row>
    <row r="18" spans="1:5" ht="18.75" customHeight="1" x14ac:dyDescent="0.35">
      <c r="A18" s="6"/>
      <c r="B18" s="40" t="s">
        <v>64</v>
      </c>
      <c r="C18" s="59">
        <f>0.01*(C5-70)*VLOOKUP(C8,Лист5!B2:C61,2,FALSE)</f>
        <v>4.37</v>
      </c>
      <c r="D18" s="43" t="s">
        <v>71</v>
      </c>
      <c r="E18" s="6"/>
    </row>
    <row r="19" spans="1:5" ht="18.75" customHeight="1" x14ac:dyDescent="0.35">
      <c r="A19" s="6"/>
      <c r="B19" s="40" t="s">
        <v>65</v>
      </c>
      <c r="C19" s="59">
        <f>C10+C18</f>
        <v>95.77000000000001</v>
      </c>
      <c r="D19" s="43" t="s">
        <v>72</v>
      </c>
      <c r="E19" s="6"/>
    </row>
    <row r="20" spans="1:5" ht="18.75" customHeight="1" x14ac:dyDescent="0.35">
      <c r="A20" s="6"/>
      <c r="B20" s="40" t="s">
        <v>66</v>
      </c>
      <c r="C20" s="58">
        <f>ROUND(C9*(1-C10/C17),1)</f>
        <v>4.0999999999999996</v>
      </c>
      <c r="D20" s="43" t="s">
        <v>73</v>
      </c>
      <c r="E20" s="6"/>
    </row>
    <row r="21" spans="1:5" ht="18.75" customHeight="1" x14ac:dyDescent="0.35">
      <c r="A21" s="6"/>
      <c r="B21" s="40" t="s">
        <v>67</v>
      </c>
      <c r="C21" s="58">
        <f>ROUND(C9*(1-C10/C19),1)</f>
        <v>8.6999999999999993</v>
      </c>
      <c r="D21" s="43" t="s">
        <v>74</v>
      </c>
      <c r="E21" s="6"/>
    </row>
    <row r="22" spans="1:5" ht="18.75" customHeight="1" x14ac:dyDescent="0.35">
      <c r="A22" s="6"/>
      <c r="B22" s="40" t="s">
        <v>75</v>
      </c>
      <c r="C22" s="51">
        <f>C20*C11*C12</f>
        <v>126222.6</v>
      </c>
      <c r="D22" s="43" t="s">
        <v>313</v>
      </c>
      <c r="E22" s="6"/>
    </row>
    <row r="23" spans="1:5" ht="18.75" customHeight="1" x14ac:dyDescent="0.35">
      <c r="A23" s="6"/>
      <c r="B23" s="40" t="s">
        <v>76</v>
      </c>
      <c r="C23" s="51">
        <f>C21*C11*C12</f>
        <v>267838.2</v>
      </c>
      <c r="D23" s="43" t="s">
        <v>314</v>
      </c>
      <c r="E23" s="6"/>
    </row>
    <row r="24" spans="1:5" ht="18.75" customHeight="1" x14ac:dyDescent="0.35">
      <c r="A24" s="39"/>
      <c r="B24" s="39"/>
      <c r="C24" s="39"/>
      <c r="D24" s="39"/>
      <c r="E24" s="39"/>
    </row>
  </sheetData>
  <mergeCells count="1">
    <mergeCell ref="B2:D2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2"/>
  <sheetViews>
    <sheetView view="pageBreakPreview" zoomScaleNormal="100" zoomScaleSheetLayoutView="100" workbookViewId="0">
      <selection activeCell="C15" sqref="C15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26.15" customHeight="1" x14ac:dyDescent="0.35">
      <c r="A2" s="6"/>
      <c r="B2" s="108" t="s">
        <v>77</v>
      </c>
      <c r="C2" s="108"/>
      <c r="D2" s="108"/>
      <c r="E2" s="6"/>
    </row>
    <row r="3" spans="1:5" ht="18.75" customHeight="1" x14ac:dyDescent="0.35">
      <c r="A3" s="6"/>
      <c r="B3" s="33"/>
      <c r="C3" s="33"/>
      <c r="D3" s="33"/>
      <c r="E3" s="6"/>
    </row>
    <row r="4" spans="1:5" ht="18.75" customHeight="1" thickBot="1" x14ac:dyDescent="0.4">
      <c r="A4" s="6"/>
      <c r="B4" s="21" t="s">
        <v>182</v>
      </c>
      <c r="C4" s="34"/>
      <c r="D4" s="34"/>
      <c r="E4" s="6"/>
    </row>
    <row r="5" spans="1:5" ht="18.75" customHeight="1" x14ac:dyDescent="0.35">
      <c r="A5" s="6"/>
      <c r="B5" s="40" t="s">
        <v>78</v>
      </c>
      <c r="C5" s="63">
        <v>45995</v>
      </c>
      <c r="D5" s="43" t="s">
        <v>108</v>
      </c>
      <c r="E5" s="6"/>
    </row>
    <row r="6" spans="1:5" ht="18.75" customHeight="1" x14ac:dyDescent="0.35">
      <c r="A6" s="6"/>
      <c r="B6" s="40" t="s">
        <v>79</v>
      </c>
      <c r="C6" s="55">
        <v>4200</v>
      </c>
      <c r="D6" s="43" t="s">
        <v>83</v>
      </c>
      <c r="E6" s="6"/>
    </row>
    <row r="7" spans="1:5" ht="18.75" customHeight="1" x14ac:dyDescent="0.35">
      <c r="A7" s="6"/>
      <c r="B7" s="40" t="s">
        <v>80</v>
      </c>
      <c r="C7" s="62">
        <v>7.33</v>
      </c>
      <c r="D7" s="43" t="s">
        <v>84</v>
      </c>
      <c r="E7" s="6"/>
    </row>
    <row r="8" spans="1:5" ht="18.75" customHeight="1" x14ac:dyDescent="0.35">
      <c r="A8" s="6"/>
      <c r="B8" s="41" t="s">
        <v>81</v>
      </c>
      <c r="C8" s="53">
        <v>1.5</v>
      </c>
      <c r="D8" s="43" t="s">
        <v>85</v>
      </c>
      <c r="E8" s="6"/>
    </row>
    <row r="9" spans="1:5" ht="18.75" customHeight="1" x14ac:dyDescent="0.35">
      <c r="A9" s="6"/>
      <c r="B9" s="40" t="s">
        <v>34</v>
      </c>
      <c r="C9" s="53">
        <v>33.799999999999997</v>
      </c>
      <c r="D9" s="43" t="s">
        <v>86</v>
      </c>
      <c r="E9" s="6"/>
    </row>
    <row r="10" spans="1:5" ht="18.75" customHeight="1" x14ac:dyDescent="0.35">
      <c r="A10" s="6"/>
      <c r="B10" s="41" t="s">
        <v>82</v>
      </c>
      <c r="C10" s="53">
        <v>0.93</v>
      </c>
      <c r="D10" s="43" t="s">
        <v>87</v>
      </c>
      <c r="E10" s="6"/>
    </row>
    <row r="11" spans="1:5" ht="18.75" customHeight="1" x14ac:dyDescent="0.35">
      <c r="A11" s="6"/>
      <c r="B11" s="40" t="s">
        <v>91</v>
      </c>
      <c r="C11" s="55">
        <v>654</v>
      </c>
      <c r="D11" s="43" t="s">
        <v>92</v>
      </c>
      <c r="E11" s="6"/>
    </row>
    <row r="12" spans="1:5" ht="18.75" customHeight="1" x14ac:dyDescent="0.35">
      <c r="A12" s="6"/>
      <c r="B12" s="40" t="s">
        <v>94</v>
      </c>
      <c r="C12" s="53">
        <v>600</v>
      </c>
      <c r="D12" s="43" t="s">
        <v>93</v>
      </c>
      <c r="E12" s="6"/>
    </row>
    <row r="13" spans="1:5" ht="18.75" customHeight="1" x14ac:dyDescent="0.35">
      <c r="A13" s="6"/>
      <c r="B13" s="40" t="s">
        <v>95</v>
      </c>
      <c r="C13" s="55">
        <v>150</v>
      </c>
      <c r="D13" s="43" t="s">
        <v>96</v>
      </c>
      <c r="E13" s="6"/>
    </row>
    <row r="14" spans="1:5" ht="18.75" customHeight="1" x14ac:dyDescent="0.35">
      <c r="A14" s="6"/>
      <c r="B14" s="40" t="s">
        <v>97</v>
      </c>
      <c r="C14" s="64">
        <v>0.4</v>
      </c>
      <c r="D14" s="43" t="s">
        <v>98</v>
      </c>
      <c r="E14" s="6"/>
    </row>
    <row r="15" spans="1:5" ht="18.75" customHeight="1" x14ac:dyDescent="0.35">
      <c r="A15" s="6"/>
      <c r="B15" s="40" t="s">
        <v>100</v>
      </c>
      <c r="C15" s="53">
        <v>0.85</v>
      </c>
      <c r="D15" s="43" t="s">
        <v>99</v>
      </c>
      <c r="E15" s="6"/>
    </row>
    <row r="16" spans="1:5" ht="18.75" customHeight="1" x14ac:dyDescent="0.35">
      <c r="A16" s="6"/>
      <c r="B16" s="33"/>
      <c r="C16" s="33"/>
      <c r="D16" s="33"/>
      <c r="E16" s="6"/>
    </row>
    <row r="17" spans="1:5" ht="18.75" customHeight="1" thickBot="1" x14ac:dyDescent="0.4">
      <c r="A17" s="6"/>
      <c r="B17" s="21" t="s">
        <v>183</v>
      </c>
      <c r="C17" s="34"/>
      <c r="D17" s="34"/>
      <c r="E17" s="6"/>
    </row>
    <row r="18" spans="1:5" ht="18.75" customHeight="1" x14ac:dyDescent="0.35">
      <c r="A18" s="6"/>
      <c r="B18" s="35" t="s">
        <v>88</v>
      </c>
      <c r="C18" s="57">
        <f>C5/C6</f>
        <v>10.951190476190476</v>
      </c>
      <c r="D18" s="36" t="s">
        <v>89</v>
      </c>
      <c r="E18" s="6"/>
    </row>
    <row r="19" spans="1:5" ht="18.75" customHeight="1" x14ac:dyDescent="0.35">
      <c r="A19" s="6"/>
      <c r="B19" s="35" t="s">
        <v>90</v>
      </c>
      <c r="C19" s="56">
        <f>C18*10^6/3600</f>
        <v>3041.9973544973545</v>
      </c>
      <c r="D19" s="36" t="s">
        <v>315</v>
      </c>
      <c r="E19" s="6"/>
    </row>
    <row r="20" spans="1:5" ht="18.75" customHeight="1" x14ac:dyDescent="0.35">
      <c r="A20" s="6"/>
      <c r="B20" s="35" t="s">
        <v>20</v>
      </c>
      <c r="C20" s="56">
        <f>ROUNDUP(C15*C19/C11,0)</f>
        <v>4</v>
      </c>
      <c r="D20" s="36" t="s">
        <v>101</v>
      </c>
      <c r="E20" s="6"/>
    </row>
    <row r="21" spans="1:5" ht="18.75" customHeight="1" x14ac:dyDescent="0.35">
      <c r="A21" s="6"/>
      <c r="B21" s="35" t="s">
        <v>102</v>
      </c>
      <c r="C21" s="89">
        <f>C15*C5*10^6/C20/C11/3600</f>
        <v>4151.3496007475369</v>
      </c>
      <c r="D21" s="36" t="s">
        <v>103</v>
      </c>
      <c r="E21" s="6"/>
    </row>
    <row r="22" spans="1:5" ht="18.75" customHeight="1" x14ac:dyDescent="0.35">
      <c r="A22" s="6"/>
      <c r="B22" s="35" t="s">
        <v>104</v>
      </c>
      <c r="C22" s="56">
        <f>3600*C20*C11*C21*10^(-6)</f>
        <v>39095.75</v>
      </c>
      <c r="D22" s="36" t="s">
        <v>107</v>
      </c>
      <c r="E22" s="6"/>
    </row>
    <row r="23" spans="1:5" ht="18.75" customHeight="1" x14ac:dyDescent="0.35">
      <c r="A23" s="6"/>
      <c r="B23" s="35" t="s">
        <v>105</v>
      </c>
      <c r="C23" s="56">
        <f>C20*C12*C21</f>
        <v>9963239.0417940877</v>
      </c>
      <c r="D23" s="36" t="s">
        <v>113</v>
      </c>
      <c r="E23" s="6"/>
    </row>
    <row r="24" spans="1:5" ht="18.75" customHeight="1" x14ac:dyDescent="0.35">
      <c r="A24" s="6"/>
      <c r="B24" s="35" t="s">
        <v>106</v>
      </c>
      <c r="C24" s="56">
        <f>C20*C21*C13</f>
        <v>2490809.7604485219</v>
      </c>
      <c r="D24" s="36" t="s">
        <v>111</v>
      </c>
      <c r="E24" s="6"/>
    </row>
    <row r="25" spans="1:5" ht="18.75" customHeight="1" x14ac:dyDescent="0.35">
      <c r="A25" s="6"/>
      <c r="B25" s="35" t="s">
        <v>109</v>
      </c>
      <c r="C25" s="56">
        <f>C24*C7</f>
        <v>18257635.544087667</v>
      </c>
      <c r="D25" s="36" t="s">
        <v>110</v>
      </c>
      <c r="E25" s="6"/>
    </row>
    <row r="26" spans="1:5" ht="18.75" customHeight="1" x14ac:dyDescent="0.35">
      <c r="A26" s="6"/>
      <c r="B26" s="35" t="s">
        <v>112</v>
      </c>
      <c r="C26" s="56">
        <f>(1-C14)*C23*C8</f>
        <v>8966915.1376146786</v>
      </c>
      <c r="D26" s="36" t="s">
        <v>184</v>
      </c>
      <c r="E26" s="6"/>
    </row>
    <row r="27" spans="1:5" ht="18.75" customHeight="1" x14ac:dyDescent="0.35">
      <c r="A27" s="6"/>
      <c r="B27" s="35" t="s">
        <v>114</v>
      </c>
      <c r="C27" s="56">
        <f>C25-C26</f>
        <v>9290720.4064729884</v>
      </c>
      <c r="D27" s="36" t="s">
        <v>115</v>
      </c>
      <c r="E27" s="6"/>
    </row>
    <row r="28" spans="1:5" ht="18.75" customHeight="1" x14ac:dyDescent="0.35">
      <c r="A28" s="6"/>
      <c r="B28" s="35" t="s">
        <v>116</v>
      </c>
      <c r="C28" s="56">
        <f>C22*10^3/C9/C10</f>
        <v>1243740.8538525165</v>
      </c>
      <c r="D28" s="36" t="s">
        <v>117</v>
      </c>
      <c r="E28" s="6"/>
    </row>
    <row r="29" spans="1:5" ht="18.75" customHeight="1" x14ac:dyDescent="0.35">
      <c r="A29" s="6"/>
      <c r="B29" s="35" t="s">
        <v>118</v>
      </c>
      <c r="C29" s="56">
        <f>C28*C7</f>
        <v>9116620.4587389454</v>
      </c>
      <c r="D29" s="36" t="s">
        <v>120</v>
      </c>
      <c r="E29" s="6"/>
    </row>
    <row r="30" spans="1:5" ht="18.75" customHeight="1" x14ac:dyDescent="0.35">
      <c r="A30" s="6"/>
      <c r="B30" s="37" t="s">
        <v>119</v>
      </c>
      <c r="C30" s="56">
        <f>C14*C23*C8</f>
        <v>5977943.425076453</v>
      </c>
      <c r="D30" s="36" t="s">
        <v>121</v>
      </c>
      <c r="E30" s="6"/>
    </row>
    <row r="31" spans="1:5" ht="18.75" customHeight="1" x14ac:dyDescent="0.35">
      <c r="A31" s="6"/>
      <c r="B31" s="35" t="s">
        <v>2</v>
      </c>
      <c r="C31" s="56">
        <f>C29+C30-C27</f>
        <v>5803843.47734241</v>
      </c>
      <c r="D31" s="36" t="s">
        <v>122</v>
      </c>
      <c r="E31" s="6"/>
    </row>
    <row r="32" spans="1:5" ht="18.75" customHeight="1" x14ac:dyDescent="0.35">
      <c r="A32" s="39"/>
      <c r="B32" s="39"/>
      <c r="C32" s="39"/>
      <c r="D32" s="39"/>
      <c r="E32" s="39"/>
    </row>
  </sheetData>
  <mergeCells count="1">
    <mergeCell ref="B2:D2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8"/>
  <sheetViews>
    <sheetView view="pageBreakPreview" zoomScaleNormal="100" zoomScaleSheetLayoutView="100" workbookViewId="0">
      <selection activeCell="C27" sqref="C27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24" customHeight="1" x14ac:dyDescent="0.35">
      <c r="A2" s="6"/>
      <c r="B2" s="108" t="s">
        <v>123</v>
      </c>
      <c r="C2" s="108"/>
      <c r="D2" s="108"/>
      <c r="E2" s="6"/>
    </row>
    <row r="3" spans="1:5" ht="18.75" customHeight="1" x14ac:dyDescent="0.35">
      <c r="A3" s="6"/>
      <c r="B3" s="22"/>
      <c r="C3" s="22"/>
      <c r="D3" s="22"/>
      <c r="E3" s="6"/>
    </row>
    <row r="4" spans="1:5" ht="18.75" customHeight="1" thickBot="1" x14ac:dyDescent="0.4">
      <c r="A4" s="6"/>
      <c r="B4" s="21" t="s">
        <v>182</v>
      </c>
      <c r="C4" s="21"/>
      <c r="D4" s="21"/>
      <c r="E4" s="6"/>
    </row>
    <row r="5" spans="1:5" ht="18.75" customHeight="1" x14ac:dyDescent="0.35">
      <c r="A5" s="6"/>
      <c r="B5" s="23" t="s">
        <v>124</v>
      </c>
      <c r="C5" s="54">
        <v>4750</v>
      </c>
      <c r="D5" s="24" t="s">
        <v>125</v>
      </c>
      <c r="E5" s="6"/>
    </row>
    <row r="6" spans="1:5" ht="18.75" customHeight="1" x14ac:dyDescent="0.35">
      <c r="A6" s="6"/>
      <c r="B6" s="25" t="s">
        <v>126</v>
      </c>
      <c r="C6" s="65">
        <v>0.159</v>
      </c>
      <c r="D6" s="26" t="s">
        <v>131</v>
      </c>
      <c r="E6" s="6"/>
    </row>
    <row r="7" spans="1:5" ht="18.75" customHeight="1" x14ac:dyDescent="0.35">
      <c r="A7" s="6"/>
      <c r="B7" s="25" t="s">
        <v>127</v>
      </c>
      <c r="C7" s="65">
        <v>0.25</v>
      </c>
      <c r="D7" s="26" t="s">
        <v>132</v>
      </c>
      <c r="E7" s="6"/>
    </row>
    <row r="8" spans="1:5" ht="18.75" customHeight="1" x14ac:dyDescent="0.35">
      <c r="A8" s="6"/>
      <c r="B8" s="23" t="s">
        <v>128</v>
      </c>
      <c r="C8" s="65">
        <v>3.3000000000000002E-2</v>
      </c>
      <c r="D8" s="26" t="s">
        <v>138</v>
      </c>
      <c r="E8" s="6"/>
    </row>
    <row r="9" spans="1:5" ht="18.75" customHeight="1" x14ac:dyDescent="0.35">
      <c r="A9" s="6"/>
      <c r="B9" s="23" t="s">
        <v>50</v>
      </c>
      <c r="C9" s="64">
        <v>29</v>
      </c>
      <c r="D9" s="26" t="s">
        <v>142</v>
      </c>
      <c r="E9" s="6"/>
    </row>
    <row r="10" spans="1:5" ht="18.75" customHeight="1" x14ac:dyDescent="0.35">
      <c r="A10" s="6"/>
      <c r="B10" s="23" t="s">
        <v>148</v>
      </c>
      <c r="C10" s="55">
        <v>65</v>
      </c>
      <c r="D10" s="26" t="s">
        <v>149</v>
      </c>
      <c r="E10" s="6"/>
    </row>
    <row r="11" spans="1:5" ht="18.75" customHeight="1" x14ac:dyDescent="0.35">
      <c r="A11" s="6"/>
      <c r="B11" s="23" t="s">
        <v>146</v>
      </c>
      <c r="C11" s="64">
        <v>-0.2</v>
      </c>
      <c r="D11" s="24" t="s">
        <v>147</v>
      </c>
      <c r="E11" s="6"/>
    </row>
    <row r="12" spans="1:5" ht="18.75" customHeight="1" x14ac:dyDescent="0.35">
      <c r="A12" s="6"/>
      <c r="B12" s="23" t="s">
        <v>129</v>
      </c>
      <c r="C12" s="65">
        <v>0.92</v>
      </c>
      <c r="D12" s="24" t="s">
        <v>87</v>
      </c>
      <c r="E12" s="6"/>
    </row>
    <row r="13" spans="1:5" ht="18.75" customHeight="1" x14ac:dyDescent="0.35">
      <c r="A13" s="6"/>
      <c r="B13" s="30" t="s">
        <v>130</v>
      </c>
      <c r="C13" s="55">
        <v>33800</v>
      </c>
      <c r="D13" s="31" t="s">
        <v>133</v>
      </c>
      <c r="E13" s="6"/>
    </row>
    <row r="14" spans="1:5" ht="18.75" customHeight="1" x14ac:dyDescent="0.35">
      <c r="A14" s="6"/>
      <c r="B14" s="32" t="s">
        <v>14</v>
      </c>
      <c r="C14" s="55">
        <v>4200</v>
      </c>
      <c r="D14" s="31" t="s">
        <v>25</v>
      </c>
      <c r="E14" s="6"/>
    </row>
    <row r="15" spans="1:5" ht="18.75" customHeight="1" x14ac:dyDescent="0.35">
      <c r="A15" s="6"/>
      <c r="B15" s="30" t="s">
        <v>15</v>
      </c>
      <c r="C15" s="65">
        <v>7.33</v>
      </c>
      <c r="D15" s="31" t="s">
        <v>139</v>
      </c>
      <c r="E15" s="6"/>
    </row>
    <row r="16" spans="1:5" ht="18.75" customHeight="1" x14ac:dyDescent="0.35">
      <c r="A16" s="6"/>
      <c r="B16" s="22"/>
      <c r="C16" s="22"/>
      <c r="D16" s="22"/>
      <c r="E16" s="6"/>
    </row>
    <row r="17" spans="1:5" ht="18.75" customHeight="1" thickBot="1" x14ac:dyDescent="0.4">
      <c r="A17" s="6"/>
      <c r="B17" s="21" t="s">
        <v>183</v>
      </c>
      <c r="C17" s="21"/>
      <c r="D17" s="21"/>
      <c r="E17" s="6"/>
    </row>
    <row r="18" spans="1:5" ht="18.75" customHeight="1" x14ac:dyDescent="0.35">
      <c r="A18" s="6"/>
      <c r="B18" s="23" t="s">
        <v>137</v>
      </c>
      <c r="C18" s="66">
        <f>LN(C7/C6)/2/PI()/C8</f>
        <v>2.182625403753331</v>
      </c>
      <c r="D18" s="24" t="s">
        <v>140</v>
      </c>
      <c r="E18" s="6"/>
    </row>
    <row r="19" spans="1:5" ht="18.75" customHeight="1" x14ac:dyDescent="0.35">
      <c r="A19" s="6"/>
      <c r="B19" s="23" t="s">
        <v>141</v>
      </c>
      <c r="C19" s="93">
        <f>1/(PI()*C9*C7)</f>
        <v>4.3904811887419404E-2</v>
      </c>
      <c r="D19" s="24" t="s">
        <v>143</v>
      </c>
      <c r="E19" s="6"/>
    </row>
    <row r="20" spans="1:5" ht="18.75" customHeight="1" x14ac:dyDescent="0.35">
      <c r="A20" s="6"/>
      <c r="B20" s="23" t="s">
        <v>136</v>
      </c>
      <c r="C20" s="59">
        <f>C18+C19</f>
        <v>2.2265302156407505</v>
      </c>
      <c r="D20" s="24" t="s">
        <v>144</v>
      </c>
      <c r="E20" s="6"/>
    </row>
    <row r="21" spans="1:5" ht="18.75" customHeight="1" x14ac:dyDescent="0.35">
      <c r="A21" s="6"/>
      <c r="B21" s="23" t="s">
        <v>145</v>
      </c>
      <c r="C21" s="59">
        <f>(C10-C11)/C20</f>
        <v>29.283231613920297</v>
      </c>
      <c r="D21" s="24" t="s">
        <v>135</v>
      </c>
      <c r="E21" s="6"/>
    </row>
    <row r="22" spans="1:5" ht="18.75" customHeight="1" x14ac:dyDescent="0.35">
      <c r="A22" s="6"/>
      <c r="B22" s="23" t="s">
        <v>150</v>
      </c>
      <c r="C22" s="59">
        <f>C21*C5*10^(-3)</f>
        <v>139.09535016612142</v>
      </c>
      <c r="D22" s="24" t="s">
        <v>157</v>
      </c>
      <c r="E22" s="6"/>
    </row>
    <row r="23" spans="1:5" ht="18.75" customHeight="1" x14ac:dyDescent="0.35">
      <c r="A23" s="6"/>
      <c r="B23" s="25" t="s">
        <v>151</v>
      </c>
      <c r="C23" s="59">
        <f>1/(PI()*C9*C6)</f>
        <v>6.9032723093426729E-2</v>
      </c>
      <c r="D23" s="26" t="s">
        <v>152</v>
      </c>
      <c r="E23" s="6"/>
    </row>
    <row r="24" spans="1:5" ht="18.75" customHeight="1" x14ac:dyDescent="0.35">
      <c r="A24" s="6"/>
      <c r="B24" s="25" t="s">
        <v>153</v>
      </c>
      <c r="C24" s="59">
        <f>(C10-C11)/C23</f>
        <v>944.47961891580553</v>
      </c>
      <c r="D24" s="26" t="s">
        <v>154</v>
      </c>
      <c r="E24" s="6"/>
    </row>
    <row r="25" spans="1:5" ht="18.75" customHeight="1" x14ac:dyDescent="0.35">
      <c r="A25" s="6"/>
      <c r="B25" s="23" t="s">
        <v>155</v>
      </c>
      <c r="C25" s="59">
        <f>C24*C5*10^(-3)</f>
        <v>4486.2781898500762</v>
      </c>
      <c r="D25" s="26" t="s">
        <v>156</v>
      </c>
      <c r="E25" s="6"/>
    </row>
    <row r="26" spans="1:5" ht="18.75" customHeight="1" x14ac:dyDescent="0.35">
      <c r="A26" s="6"/>
      <c r="B26" s="23" t="s">
        <v>158</v>
      </c>
      <c r="C26" s="59">
        <f>3600*(C25-C22)/C13/C12</f>
        <v>503.27560531458181</v>
      </c>
      <c r="D26" s="26" t="s">
        <v>159</v>
      </c>
      <c r="E26" s="6"/>
    </row>
    <row r="27" spans="1:5" ht="18.75" customHeight="1" x14ac:dyDescent="0.35">
      <c r="A27" s="6"/>
      <c r="B27" s="23" t="s">
        <v>2</v>
      </c>
      <c r="C27" s="51">
        <f>C26*C14*C15</f>
        <v>15493842.785214717</v>
      </c>
      <c r="D27" s="26" t="s">
        <v>160</v>
      </c>
      <c r="E27" s="6"/>
    </row>
    <row r="28" spans="1:5" ht="18.75" customHeight="1" x14ac:dyDescent="0.35">
      <c r="A28" s="6"/>
      <c r="B28" s="22"/>
      <c r="C28" s="22"/>
      <c r="D28" s="22"/>
      <c r="E28" s="6"/>
    </row>
  </sheetData>
  <mergeCells count="1">
    <mergeCell ref="B2:D2"/>
  </mergeCells>
  <pageMargins left="0.7" right="0.7" top="0.75" bottom="0.75" header="0.3" footer="0.3"/>
  <pageSetup paperSize="9"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4"/>
  <sheetViews>
    <sheetView view="pageBreakPreview" topLeftCell="B4" zoomScaleNormal="100" zoomScaleSheetLayoutView="100" workbookViewId="0">
      <selection activeCell="D33" sqref="D33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5" ht="18.75" customHeight="1" x14ac:dyDescent="0.35">
      <c r="A1" s="6"/>
      <c r="B1" s="6"/>
      <c r="C1" s="6"/>
      <c r="D1" s="6"/>
      <c r="E1" s="6"/>
    </row>
    <row r="2" spans="1:5" ht="32.4" customHeight="1" x14ac:dyDescent="0.35">
      <c r="A2" s="6"/>
      <c r="B2" s="108" t="s">
        <v>123</v>
      </c>
      <c r="C2" s="108"/>
      <c r="D2" s="108"/>
      <c r="E2" s="6"/>
    </row>
    <row r="3" spans="1:5" ht="18.75" customHeight="1" x14ac:dyDescent="0.35">
      <c r="A3" s="6"/>
      <c r="B3" s="22"/>
      <c r="C3" s="22"/>
      <c r="D3" s="22"/>
      <c r="E3" s="6"/>
    </row>
    <row r="4" spans="1:5" ht="18.75" customHeight="1" thickBot="1" x14ac:dyDescent="0.4">
      <c r="A4" s="6"/>
      <c r="B4" s="21" t="s">
        <v>182</v>
      </c>
      <c r="C4" s="21"/>
      <c r="D4" s="21"/>
      <c r="E4" s="6"/>
    </row>
    <row r="5" spans="1:5" ht="18.75" customHeight="1" x14ac:dyDescent="0.35">
      <c r="A5" s="6"/>
      <c r="B5" s="23" t="s">
        <v>124</v>
      </c>
      <c r="C5" s="47">
        <v>4750</v>
      </c>
      <c r="D5" s="24" t="s">
        <v>125</v>
      </c>
      <c r="E5" s="6"/>
    </row>
    <row r="6" spans="1:5" ht="18.75" customHeight="1" x14ac:dyDescent="0.35">
      <c r="A6" s="6"/>
      <c r="B6" s="25" t="s">
        <v>126</v>
      </c>
      <c r="C6" s="48">
        <v>0.159</v>
      </c>
      <c r="D6" s="26" t="s">
        <v>131</v>
      </c>
      <c r="E6" s="6"/>
    </row>
    <row r="7" spans="1:5" ht="18.75" customHeight="1" x14ac:dyDescent="0.35">
      <c r="A7" s="6"/>
      <c r="B7" s="25" t="s">
        <v>128</v>
      </c>
      <c r="C7" s="48">
        <v>0.06</v>
      </c>
      <c r="D7" s="26" t="s">
        <v>138</v>
      </c>
      <c r="E7" s="6"/>
    </row>
    <row r="8" spans="1:5" ht="18.75" customHeight="1" x14ac:dyDescent="0.35">
      <c r="A8" s="6"/>
      <c r="B8" s="23" t="s">
        <v>165</v>
      </c>
      <c r="C8" s="70">
        <v>45</v>
      </c>
      <c r="D8" s="26" t="s">
        <v>166</v>
      </c>
      <c r="E8" s="6"/>
    </row>
    <row r="9" spans="1:5" ht="18.75" customHeight="1" x14ac:dyDescent="0.35">
      <c r="A9" s="6"/>
      <c r="B9" s="23" t="s">
        <v>164</v>
      </c>
      <c r="C9" s="48">
        <v>2.5</v>
      </c>
      <c r="D9" s="26" t="s">
        <v>163</v>
      </c>
      <c r="E9" s="6"/>
    </row>
    <row r="10" spans="1:5" ht="18.75" customHeight="1" x14ac:dyDescent="0.35">
      <c r="A10" s="6"/>
      <c r="B10" s="27" t="s">
        <v>161</v>
      </c>
      <c r="C10" s="70">
        <v>40</v>
      </c>
      <c r="D10" s="26" t="s">
        <v>162</v>
      </c>
      <c r="E10" s="6"/>
    </row>
    <row r="11" spans="1:5" ht="18.75" customHeight="1" x14ac:dyDescent="0.35">
      <c r="A11" s="6"/>
      <c r="B11" s="23" t="s">
        <v>50</v>
      </c>
      <c r="C11" s="71">
        <v>29</v>
      </c>
      <c r="D11" s="24" t="s">
        <v>142</v>
      </c>
      <c r="E11" s="6"/>
    </row>
    <row r="12" spans="1:5" ht="18.75" customHeight="1" x14ac:dyDescent="0.35">
      <c r="A12" s="6"/>
      <c r="B12" s="23" t="s">
        <v>148</v>
      </c>
      <c r="C12" s="48">
        <v>65</v>
      </c>
      <c r="D12" s="24" t="s">
        <v>149</v>
      </c>
      <c r="E12" s="6"/>
    </row>
    <row r="13" spans="1:5" ht="18.75" customHeight="1" x14ac:dyDescent="0.35">
      <c r="A13" s="6"/>
      <c r="B13" s="23" t="s">
        <v>146</v>
      </c>
      <c r="C13" s="67">
        <v>-0.2</v>
      </c>
      <c r="D13" s="26" t="s">
        <v>147</v>
      </c>
      <c r="E13" s="6"/>
    </row>
    <row r="14" spans="1:5" ht="18.75" customHeight="1" x14ac:dyDescent="0.35">
      <c r="A14" s="6"/>
      <c r="B14" s="25" t="s">
        <v>129</v>
      </c>
      <c r="C14" s="67">
        <v>0.92</v>
      </c>
      <c r="D14" s="26" t="s">
        <v>87</v>
      </c>
      <c r="E14" s="6"/>
    </row>
    <row r="15" spans="1:5" ht="18.75" customHeight="1" x14ac:dyDescent="0.35">
      <c r="A15" s="6"/>
      <c r="B15" s="23" t="s">
        <v>130</v>
      </c>
      <c r="C15" s="68">
        <v>33800</v>
      </c>
      <c r="D15" s="26" t="s">
        <v>133</v>
      </c>
      <c r="E15" s="6"/>
    </row>
    <row r="16" spans="1:5" ht="18.75" customHeight="1" x14ac:dyDescent="0.35">
      <c r="A16" s="6"/>
      <c r="B16" s="23" t="s">
        <v>14</v>
      </c>
      <c r="C16" s="68">
        <v>4200</v>
      </c>
      <c r="D16" s="26" t="s">
        <v>25</v>
      </c>
      <c r="E16" s="6"/>
    </row>
    <row r="17" spans="1:5" ht="18.75" customHeight="1" x14ac:dyDescent="0.35">
      <c r="A17" s="6"/>
      <c r="B17" s="23" t="s">
        <v>15</v>
      </c>
      <c r="C17" s="69">
        <v>7.33</v>
      </c>
      <c r="D17" s="26" t="s">
        <v>139</v>
      </c>
      <c r="E17" s="6"/>
    </row>
    <row r="18" spans="1:5" ht="18.75" customHeight="1" x14ac:dyDescent="0.35">
      <c r="A18" s="6"/>
      <c r="B18" s="23" t="s">
        <v>176</v>
      </c>
      <c r="C18" s="48">
        <v>500</v>
      </c>
      <c r="D18" s="24" t="s">
        <v>177</v>
      </c>
      <c r="E18" s="6"/>
    </row>
    <row r="19" spans="1:5" ht="18.75" customHeight="1" x14ac:dyDescent="0.35">
      <c r="A19" s="6"/>
      <c r="B19" s="22"/>
      <c r="C19" s="22"/>
      <c r="D19" s="22"/>
      <c r="E19" s="6"/>
    </row>
    <row r="20" spans="1:5" ht="18.75" customHeight="1" thickBot="1" x14ac:dyDescent="0.4">
      <c r="A20" s="6"/>
      <c r="B20" s="21" t="s">
        <v>183</v>
      </c>
      <c r="C20" s="21"/>
      <c r="D20" s="21"/>
      <c r="E20" s="6"/>
    </row>
    <row r="21" spans="1:5" ht="18.75" customHeight="1" x14ac:dyDescent="0.35">
      <c r="A21" s="6"/>
      <c r="B21" s="23" t="s">
        <v>167</v>
      </c>
      <c r="C21" s="66">
        <f>(C12-C13)/C8</f>
        <v>1.4488888888888889</v>
      </c>
      <c r="D21" s="24" t="s">
        <v>144</v>
      </c>
      <c r="E21" s="6"/>
    </row>
    <row r="22" spans="1:5" ht="18.75" customHeight="1" x14ac:dyDescent="0.35">
      <c r="A22" s="6"/>
      <c r="B22" s="23" t="s">
        <v>168</v>
      </c>
      <c r="C22" s="93">
        <f>MROUND((EXP(2*PI()*C7*C21)-1)/2*C6,0.01)</f>
        <v>0.06</v>
      </c>
      <c r="D22" s="24" t="s">
        <v>169</v>
      </c>
      <c r="E22" s="6"/>
    </row>
    <row r="23" spans="1:5" ht="18.75" customHeight="1" x14ac:dyDescent="0.35">
      <c r="A23" s="6"/>
      <c r="B23" s="25" t="s">
        <v>137</v>
      </c>
      <c r="C23" s="59">
        <f>LN((C6+2*C22)/C6)/2/PI()/C7</f>
        <v>1.4915671805259985</v>
      </c>
      <c r="D23" s="26" t="s">
        <v>171</v>
      </c>
      <c r="E23" s="6"/>
    </row>
    <row r="24" spans="1:5" ht="18.75" customHeight="1" x14ac:dyDescent="0.35">
      <c r="A24" s="6"/>
      <c r="B24" s="25" t="s">
        <v>170</v>
      </c>
      <c r="C24" s="72">
        <f>LN((C6+2*C22+2*C9/1000)/(C6+2*C22))/2/PI()/C10</f>
        <v>7.0674568198489637E-5</v>
      </c>
      <c r="D24" s="26" t="s">
        <v>172</v>
      </c>
      <c r="E24" s="6"/>
    </row>
    <row r="25" spans="1:5" ht="18.75" customHeight="1" x14ac:dyDescent="0.35">
      <c r="A25" s="6"/>
      <c r="B25" s="23" t="s">
        <v>173</v>
      </c>
      <c r="C25" s="59">
        <f>1/(PI()*C11*(C6+2*C22+2*C9/1000))</f>
        <v>3.8648602013573417E-2</v>
      </c>
      <c r="D25" s="26" t="s">
        <v>174</v>
      </c>
      <c r="E25" s="6"/>
    </row>
    <row r="26" spans="1:5" ht="18.75" customHeight="1" x14ac:dyDescent="0.35">
      <c r="A26" s="6"/>
      <c r="B26" s="23" t="s">
        <v>136</v>
      </c>
      <c r="C26" s="59">
        <f>C23+C24+C25</f>
        <v>1.5302864571077703</v>
      </c>
      <c r="D26" s="26" t="s">
        <v>144</v>
      </c>
      <c r="E26" s="6"/>
    </row>
    <row r="27" spans="1:5" ht="18.75" customHeight="1" x14ac:dyDescent="0.35">
      <c r="A27" s="6"/>
      <c r="B27" s="23" t="s">
        <v>134</v>
      </c>
      <c r="C27" s="59">
        <f>(C12-C13)/C26</f>
        <v>42.606402021767551</v>
      </c>
      <c r="D27" s="26" t="s">
        <v>175</v>
      </c>
      <c r="E27" s="6"/>
    </row>
    <row r="28" spans="1:5" ht="18.75" customHeight="1" x14ac:dyDescent="0.35">
      <c r="A28" s="6"/>
      <c r="B28" s="23" t="s">
        <v>150</v>
      </c>
      <c r="C28" s="59">
        <f>C27*C5*10^(-3)</f>
        <v>202.38040960339589</v>
      </c>
      <c r="D28" s="24" t="s">
        <v>156</v>
      </c>
      <c r="E28" s="6"/>
    </row>
    <row r="29" spans="1:5" ht="18.75" customHeight="1" x14ac:dyDescent="0.35">
      <c r="A29" s="6"/>
      <c r="B29" s="23" t="s">
        <v>158</v>
      </c>
      <c r="C29" s="59">
        <f>3600*('попередньо ізольовані труби'!C25-C28)/C15/C14</f>
        <v>495.94906125829851</v>
      </c>
      <c r="D29" s="24" t="s">
        <v>159</v>
      </c>
      <c r="E29" s="6"/>
    </row>
    <row r="30" spans="1:5" ht="18.75" customHeight="1" x14ac:dyDescent="0.35">
      <c r="A30" s="6"/>
      <c r="B30" s="30" t="s">
        <v>2</v>
      </c>
      <c r="C30" s="58">
        <f>C29*C16*C17</f>
        <v>15268287.799897978</v>
      </c>
      <c r="D30" s="31" t="s">
        <v>160</v>
      </c>
      <c r="E30" s="6"/>
    </row>
    <row r="31" spans="1:5" ht="18.75" customHeight="1" thickBot="1" x14ac:dyDescent="0.4">
      <c r="A31" s="6"/>
      <c r="B31" s="73"/>
      <c r="C31" s="75"/>
      <c r="D31" s="74"/>
      <c r="E31" s="6"/>
    </row>
    <row r="32" spans="1:5" ht="18.75" customHeight="1" x14ac:dyDescent="0.35">
      <c r="A32" s="6"/>
      <c r="B32" s="30" t="s">
        <v>178</v>
      </c>
      <c r="C32" s="66">
        <f>3600*(C28-'попередньо ізольовані труби'!C22)/'теплоізоляція існуючих'!C15/'теплоізоляція існуючих'!C14</f>
        <v>7.3265440562833826</v>
      </c>
      <c r="D32" s="31" t="s">
        <v>179</v>
      </c>
      <c r="E32" s="6"/>
    </row>
    <row r="33" spans="1:5" ht="18.75" customHeight="1" x14ac:dyDescent="0.35">
      <c r="A33" s="6"/>
      <c r="B33" s="23" t="s">
        <v>180</v>
      </c>
      <c r="C33" s="51">
        <f>C32*C16*C17</f>
        <v>225554.98531674023</v>
      </c>
      <c r="D33" s="24" t="s">
        <v>181</v>
      </c>
      <c r="E33" s="6"/>
    </row>
    <row r="34" spans="1:5" ht="18.75" customHeight="1" x14ac:dyDescent="0.35">
      <c r="A34" s="6"/>
      <c r="B34" s="22"/>
      <c r="C34" s="22"/>
      <c r="D34" s="22"/>
      <c r="E34" s="6"/>
    </row>
  </sheetData>
  <mergeCells count="1">
    <mergeCell ref="B2:D2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"/>
  <sheetViews>
    <sheetView view="pageBreakPreview" zoomScaleNormal="100" zoomScaleSheetLayoutView="100" workbookViewId="0">
      <selection activeCell="C17" sqref="C17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6" ht="18.75" customHeight="1" x14ac:dyDescent="0.35">
      <c r="A1" s="6"/>
      <c r="B1" s="6"/>
      <c r="C1" s="6"/>
      <c r="D1" s="6"/>
      <c r="E1" s="8"/>
    </row>
    <row r="2" spans="1:6" ht="23.25" customHeight="1" x14ac:dyDescent="0.35">
      <c r="A2" s="6"/>
      <c r="B2" s="108" t="s">
        <v>186</v>
      </c>
      <c r="C2" s="108"/>
      <c r="D2" s="108"/>
      <c r="E2" s="8"/>
    </row>
    <row r="3" spans="1:6" ht="18.75" customHeight="1" x14ac:dyDescent="0.35">
      <c r="A3" s="6"/>
      <c r="B3" s="22"/>
      <c r="C3" s="22"/>
      <c r="D3" s="22"/>
      <c r="E3" s="8"/>
    </row>
    <row r="4" spans="1:6" ht="18.75" customHeight="1" thickBot="1" x14ac:dyDescent="0.4">
      <c r="A4" s="6"/>
      <c r="B4" s="21" t="s">
        <v>182</v>
      </c>
      <c r="C4" s="21"/>
      <c r="D4" s="21"/>
      <c r="E4" s="8"/>
    </row>
    <row r="5" spans="1:6" ht="18.75" customHeight="1" x14ac:dyDescent="0.35">
      <c r="A5" s="6"/>
      <c r="B5" s="23" t="s">
        <v>185</v>
      </c>
      <c r="C5" s="47">
        <v>65</v>
      </c>
      <c r="D5" s="24" t="s">
        <v>188</v>
      </c>
      <c r="E5" s="8"/>
    </row>
    <row r="6" spans="1:6" ht="18.75" customHeight="1" x14ac:dyDescent="0.35">
      <c r="A6" s="6"/>
      <c r="B6" s="25" t="s">
        <v>16</v>
      </c>
      <c r="C6" s="48">
        <v>200</v>
      </c>
      <c r="D6" s="26" t="s">
        <v>189</v>
      </c>
      <c r="E6" s="8"/>
    </row>
    <row r="7" spans="1:6" ht="18.75" customHeight="1" x14ac:dyDescent="0.35">
      <c r="A7" s="6"/>
      <c r="B7" s="25" t="s">
        <v>187</v>
      </c>
      <c r="C7" s="48">
        <v>160</v>
      </c>
      <c r="D7" s="26" t="s">
        <v>190</v>
      </c>
      <c r="E7" s="8"/>
    </row>
    <row r="8" spans="1:6" ht="18.75" customHeight="1" x14ac:dyDescent="0.35">
      <c r="A8" s="6"/>
      <c r="B8" s="23" t="s">
        <v>14</v>
      </c>
      <c r="C8" s="49">
        <v>4200</v>
      </c>
      <c r="D8" s="26" t="s">
        <v>195</v>
      </c>
      <c r="E8" s="8"/>
    </row>
    <row r="9" spans="1:6" ht="18.75" customHeight="1" x14ac:dyDescent="0.35">
      <c r="A9" s="6"/>
      <c r="B9" s="23" t="s">
        <v>192</v>
      </c>
      <c r="C9" s="48">
        <v>700</v>
      </c>
      <c r="D9" s="26" t="s">
        <v>196</v>
      </c>
      <c r="E9" s="8"/>
    </row>
    <row r="10" spans="1:6" ht="18.75" customHeight="1" x14ac:dyDescent="0.35">
      <c r="A10" s="6"/>
      <c r="B10" s="23" t="s">
        <v>81</v>
      </c>
      <c r="C10" s="70">
        <v>1.5</v>
      </c>
      <c r="D10" s="26" t="s">
        <v>191</v>
      </c>
      <c r="E10" s="8"/>
    </row>
    <row r="11" spans="1:6" ht="18.75" customHeight="1" x14ac:dyDescent="0.35">
      <c r="A11" s="6"/>
      <c r="B11" s="22"/>
      <c r="C11" s="22"/>
      <c r="D11" s="22"/>
      <c r="E11" s="9"/>
      <c r="F11" s="10"/>
    </row>
    <row r="12" spans="1:6" ht="18.75" customHeight="1" thickBot="1" x14ac:dyDescent="0.4">
      <c r="A12" s="6"/>
      <c r="B12" s="21" t="s">
        <v>183</v>
      </c>
      <c r="C12" s="21"/>
      <c r="D12" s="21"/>
      <c r="E12" s="8"/>
      <c r="F12" s="10"/>
    </row>
    <row r="13" spans="1:6" ht="18.75" customHeight="1" x14ac:dyDescent="0.35">
      <c r="A13" s="6"/>
      <c r="B13" s="25" t="s">
        <v>193</v>
      </c>
      <c r="C13" s="50">
        <f>C5/2*(1+C7/C6)</f>
        <v>58.5</v>
      </c>
      <c r="D13" s="26" t="s">
        <v>194</v>
      </c>
      <c r="E13" s="8"/>
    </row>
    <row r="14" spans="1:6" ht="18.75" customHeight="1" x14ac:dyDescent="0.35">
      <c r="A14" s="6"/>
      <c r="B14" s="23" t="s">
        <v>197</v>
      </c>
      <c r="C14" s="58">
        <f>C5*(C7/C6)^3</f>
        <v>33.280000000000008</v>
      </c>
      <c r="D14" s="26" t="s">
        <v>198</v>
      </c>
      <c r="E14" s="8"/>
    </row>
    <row r="15" spans="1:6" ht="18.75" customHeight="1" x14ac:dyDescent="0.35">
      <c r="A15" s="6"/>
      <c r="B15" s="23" t="s">
        <v>199</v>
      </c>
      <c r="C15" s="58">
        <f>C13-C14</f>
        <v>25.219999999999992</v>
      </c>
      <c r="D15" s="26" t="s">
        <v>200</v>
      </c>
      <c r="E15" s="8"/>
    </row>
    <row r="16" spans="1:6" ht="18.75" customHeight="1" x14ac:dyDescent="0.35">
      <c r="A16" s="6"/>
      <c r="B16" s="23" t="s">
        <v>201</v>
      </c>
      <c r="C16" s="58">
        <f>C15*(C8-C9)</f>
        <v>88269.999999999971</v>
      </c>
      <c r="D16" s="26" t="s">
        <v>202</v>
      </c>
      <c r="E16" s="8"/>
    </row>
    <row r="17" spans="1:7" ht="18.75" customHeight="1" x14ac:dyDescent="0.35">
      <c r="A17" s="6"/>
      <c r="B17" s="23" t="s">
        <v>2</v>
      </c>
      <c r="C17" s="76">
        <f>C16*C10</f>
        <v>132404.99999999994</v>
      </c>
      <c r="D17" s="26" t="s">
        <v>232</v>
      </c>
      <c r="E17" s="8"/>
      <c r="G17" s="10"/>
    </row>
    <row r="18" spans="1:7" ht="18.75" customHeight="1" x14ac:dyDescent="0.35">
      <c r="A18" s="6"/>
      <c r="B18" s="22"/>
      <c r="C18" s="22"/>
      <c r="D18" s="22"/>
      <c r="E18" s="8"/>
    </row>
    <row r="21" spans="1:7" ht="18.75" customHeight="1" x14ac:dyDescent="0.35">
      <c r="F21" s="26"/>
    </row>
  </sheetData>
  <mergeCells count="1">
    <mergeCell ref="B2:D2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7"/>
  <sheetViews>
    <sheetView view="pageBreakPreview" zoomScaleNormal="100" zoomScaleSheetLayoutView="100" workbookViewId="0">
      <selection activeCell="C12" sqref="C12"/>
    </sheetView>
  </sheetViews>
  <sheetFormatPr defaultColWidth="9.08984375" defaultRowHeight="18.75" customHeight="1" x14ac:dyDescent="0.35"/>
  <cols>
    <col min="1" max="1" width="4.36328125" style="5" customWidth="1"/>
    <col min="2" max="3" width="12.90625" style="5" customWidth="1"/>
    <col min="4" max="4" width="142.90625" style="5" customWidth="1"/>
    <col min="5" max="5" width="4.36328125" style="5" customWidth="1"/>
    <col min="6" max="16384" width="9.08984375" style="5"/>
  </cols>
  <sheetData>
    <row r="1" spans="1:7" ht="18.75" customHeight="1" x14ac:dyDescent="0.35">
      <c r="A1" s="6"/>
      <c r="B1" s="6"/>
      <c r="C1" s="6"/>
      <c r="D1" s="6"/>
      <c r="E1" s="8"/>
    </row>
    <row r="2" spans="1:7" ht="23.25" customHeight="1" x14ac:dyDescent="0.35">
      <c r="A2" s="6"/>
      <c r="B2" s="108" t="s">
        <v>231</v>
      </c>
      <c r="C2" s="108"/>
      <c r="D2" s="108"/>
      <c r="E2" s="8"/>
    </row>
    <row r="3" spans="1:7" ht="18.75" customHeight="1" x14ac:dyDescent="0.35">
      <c r="A3" s="6"/>
      <c r="B3" s="22"/>
      <c r="C3" s="22"/>
      <c r="D3" s="22"/>
      <c r="E3" s="8"/>
    </row>
    <row r="4" spans="1:7" ht="18.75" customHeight="1" thickBot="1" x14ac:dyDescent="0.4">
      <c r="A4" s="6"/>
      <c r="B4" s="21" t="s">
        <v>182</v>
      </c>
      <c r="C4" s="21"/>
      <c r="D4" s="21"/>
      <c r="E4" s="8"/>
    </row>
    <row r="5" spans="1:7" ht="18.75" customHeight="1" x14ac:dyDescent="0.35">
      <c r="A5" s="6"/>
      <c r="B5" s="23" t="s">
        <v>185</v>
      </c>
      <c r="C5" s="47">
        <v>65</v>
      </c>
      <c r="D5" s="24" t="s">
        <v>233</v>
      </c>
      <c r="E5" s="8"/>
    </row>
    <row r="6" spans="1:7" ht="18.75" customHeight="1" x14ac:dyDescent="0.35">
      <c r="A6" s="6"/>
      <c r="B6" s="23" t="s">
        <v>185</v>
      </c>
      <c r="C6" s="48">
        <v>60</v>
      </c>
      <c r="D6" s="26" t="s">
        <v>316</v>
      </c>
      <c r="E6" s="8"/>
    </row>
    <row r="7" spans="1:7" ht="18.75" customHeight="1" x14ac:dyDescent="0.35">
      <c r="A7" s="6"/>
      <c r="B7" s="23" t="s">
        <v>14</v>
      </c>
      <c r="C7" s="49">
        <v>4200</v>
      </c>
      <c r="D7" s="26" t="s">
        <v>195</v>
      </c>
      <c r="E7" s="8"/>
    </row>
    <row r="8" spans="1:7" ht="18.75" customHeight="1" x14ac:dyDescent="0.35">
      <c r="A8" s="6"/>
      <c r="B8" s="23" t="s">
        <v>81</v>
      </c>
      <c r="C8" s="70">
        <v>1.5</v>
      </c>
      <c r="D8" s="26" t="s">
        <v>191</v>
      </c>
      <c r="E8" s="8"/>
    </row>
    <row r="9" spans="1:7" ht="18.75" customHeight="1" x14ac:dyDescent="0.35">
      <c r="A9" s="6"/>
      <c r="B9" s="22"/>
      <c r="C9" s="22"/>
      <c r="D9" s="22"/>
      <c r="E9" s="9"/>
      <c r="F9" s="10"/>
    </row>
    <row r="10" spans="1:7" ht="18.75" customHeight="1" x14ac:dyDescent="0.35">
      <c r="A10" s="6"/>
      <c r="B10" s="21" t="s">
        <v>183</v>
      </c>
      <c r="C10" s="21"/>
      <c r="D10" s="21"/>
      <c r="E10" s="8"/>
      <c r="F10" s="10"/>
    </row>
    <row r="11" spans="1:7" ht="18.75" customHeight="1" x14ac:dyDescent="0.35">
      <c r="A11" s="6"/>
      <c r="B11" s="23" t="s">
        <v>199</v>
      </c>
      <c r="C11" s="58">
        <f>C5-C6</f>
        <v>5</v>
      </c>
      <c r="D11" s="26" t="s">
        <v>234</v>
      </c>
      <c r="E11" s="8"/>
    </row>
    <row r="12" spans="1:7" ht="18.75" customHeight="1" x14ac:dyDescent="0.35">
      <c r="A12" s="6"/>
      <c r="B12" s="23" t="s">
        <v>201</v>
      </c>
      <c r="C12" s="51">
        <f>C11*C7</f>
        <v>21000</v>
      </c>
      <c r="D12" s="26" t="s">
        <v>270</v>
      </c>
      <c r="E12" s="8"/>
    </row>
    <row r="13" spans="1:7" ht="18.75" customHeight="1" x14ac:dyDescent="0.35">
      <c r="A13" s="6"/>
      <c r="B13" s="23" t="s">
        <v>2</v>
      </c>
      <c r="C13" s="76">
        <f>C12*C8</f>
        <v>31500</v>
      </c>
      <c r="D13" s="26" t="s">
        <v>232</v>
      </c>
      <c r="E13" s="8"/>
      <c r="G13" s="10"/>
    </row>
    <row r="14" spans="1:7" ht="18.75" customHeight="1" x14ac:dyDescent="0.35">
      <c r="A14" s="6"/>
      <c r="B14" s="22"/>
      <c r="C14" s="22"/>
      <c r="D14" s="22"/>
      <c r="E14" s="8"/>
    </row>
    <row r="17" spans="6:6" ht="18.75" customHeight="1" x14ac:dyDescent="0.35">
      <c r="F17" s="26"/>
    </row>
  </sheetData>
  <mergeCells count="1">
    <mergeCell ref="B2:D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газ – тверде паливо</vt:lpstr>
      <vt:lpstr>газ – газ</vt:lpstr>
      <vt:lpstr>зменшення потужності</vt:lpstr>
      <vt:lpstr>теплоутилізатор</vt:lpstr>
      <vt:lpstr>когенерація</vt:lpstr>
      <vt:lpstr>попередньо ізольовані труби</vt:lpstr>
      <vt:lpstr>теплоізоляція існуючих</vt:lpstr>
      <vt:lpstr>ЧРП</vt:lpstr>
      <vt:lpstr>Заміна насосу</vt:lpstr>
      <vt:lpstr>Погодне регулювання</vt:lpstr>
      <vt:lpstr>Тепловий насос</vt:lpstr>
      <vt:lpstr>теплоакумулятор</vt:lpstr>
      <vt:lpstr>Лист5</vt:lpstr>
      <vt:lpstr>'газ – газ'!Print_Area</vt:lpstr>
      <vt:lpstr>'газ – тверде паливо'!Print_Area</vt:lpstr>
      <vt:lpstr>'Заміна насосу'!Print_Area</vt:lpstr>
      <vt:lpstr>'зменшення потужності'!Print_Area</vt:lpstr>
      <vt:lpstr>когенерація!Print_Area</vt:lpstr>
      <vt:lpstr>'Погодне регулювання'!Print_Area</vt:lpstr>
      <vt:lpstr>'попередньо ізольовані труби'!Print_Area</vt:lpstr>
      <vt:lpstr>теплоакумулятор!Print_Area</vt:lpstr>
      <vt:lpstr>'Тепловий насос'!Print_Area</vt:lpstr>
      <vt:lpstr>'теплоізоляція існуючих'!Print_Area</vt:lpstr>
      <vt:lpstr>теплоутилізатор!Print_Area</vt:lpstr>
      <vt:lpstr>ЧРП!Print_Area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Diana.Korsakaite</cp:lastModifiedBy>
  <cp:lastPrinted>2021-05-18T08:04:21Z</cp:lastPrinted>
  <dcterms:created xsi:type="dcterms:W3CDTF">2021-05-12T09:57:18Z</dcterms:created>
  <dcterms:modified xsi:type="dcterms:W3CDTF">2021-11-01T10:23:48Z</dcterms:modified>
</cp:coreProperties>
</file>